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docProps/core.xml" ContentType="application/vnd.openxmlformats-package.core-properties+xml"/>
  <Override PartName="/docProps/app.xml" ContentType="application/vnd.openxmlformats-officedocument.extended-properties+xml"/>
  <Override PartName="/xl/worksheets/sheet11.xml" ContentType="application/vnd.openxmlformats-officedocument.spreadsheetml.worksheet+xml"/>
  <Override PartName="/xl/drawings/drawing10.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defaultThemeVersion="166925"/>
  <mc:AlternateContent xmlns:mc="http://schemas.openxmlformats.org/markup-compatibility/2006">
    <mc:Choice Requires="x15">
      <x15ac:absPath xmlns:x15ac="http://schemas.microsoft.com/office/spreadsheetml/2010/11/ac" url="https://netorg14453751-my.sharepoint.com/personal/contact_opthelios_fr/Documents/Bureau/OPTHELIOS/PRESTATIONS/Client/ENERPLAN/"/>
    </mc:Choice>
  </mc:AlternateContent>
  <xr:revisionPtr revIDLastSave="88" documentId="10_ncr:8000_{BB0B1907-F698-41E9-A9B3-A54065A891C1}" xr6:coauthVersionLast="47" xr6:coauthVersionMax="47" xr10:uidLastSave="{28B30741-A177-4A31-B3E6-72C3CDD48A3F}"/>
  <workbookProtection workbookAlgorithmName="SHA-512" workbookHashValue="GHBCZKNF4yVAuUizYlKZ49EgXrFOefBt450MCoV3Ur2cp7QjPQYA7zmscxLfu7jbyyhp8oiIfEzSrbRPgpoJ0w==" workbookSaltValue="zQ5rwrVXaCnkh3uKY+IsDg==" workbookSpinCount="100000" lockStructure="1"/>
  <bookViews>
    <workbookView xWindow="-98" yWindow="-98" windowWidth="21795" windowHeight="13875" tabRatio="913" activeTab="0" xr2:uid="{36E2A90A-FF1B-4755-8660-FB56D05C421B}"/>
  </bookViews>
  <sheets>
    <sheet name="Sommaire" sheetId="13" r:id="rId20"/>
    <sheet name="Contexte" sheetId="9" r:id="rId1"/>
    <sheet name="Proposition GT SOCOL" sheetId="12" r:id="rId2"/>
    <sheet name="Glossaire" sheetId="10" r:id="rId3"/>
    <sheet name="Notice et Définitions" sheetId="11" r:id="rId6"/>
    <sheet name="Suivi instal TYPE 1" sheetId="5" r:id="rId7"/>
    <sheet name="Suivi instal TYPE 2" sheetId="6" r:id="rId8"/>
    <sheet name="Suivi instal TYPE 3" sheetId="7" r:id="rId9"/>
    <sheet name="Suivi instal TYPE 4" sheetId="8" r:id="rId10"/>
  </sheets>
  <definedNames>
    <definedName name="suivi_instal_TYPE_1">'Suivi instal TYPE 1'!$A$1</definedName>
    <definedName name="Suivi_instal_TYPE_2">'Suivi instal TYPE 2'!$A$1</definedName>
    <definedName name="Suivi_instal_TYPE_3">'Suivi instal TYPE 3'!$A$1</definedName>
    <definedName name="Suivi_instal_TYPE_4">'Suivi instal TYPE 4'!$A$1</definedName>
    <definedName name="Z_8DE055D8_94BD_4990_9BC1_AF66A014CAAA_.wvu.PrintArea" localSheetId="4" hidden="1">'Notice et Définitions'!$A$1:$C$39</definedName>
    <definedName name="_xlnm.Print_Area" localSheetId="1">Contexte!$A$1:$A$20</definedName>
    <definedName name="_xlnm.Print_Area" localSheetId="4">'Notice et Définitions'!$A$1:$C$39</definedName>
  </definedNames>
  <calcPr calcId="191029" fullCalcOnLoad="1"/>
  <customWorkbookViews>
    <customWorkbookView name="SOCOL" guid="{5A83C5B2-6634-4391-BA7B-F6189608FC78}" maximized="1" xWindow="1912" yWindow="-8" windowWidth="1936" windowHeight="1056" activeSheetId="2"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<sst xmlns="http://schemas.openxmlformats.org/spreadsheetml/2006/main" count="655" uniqueCount="419">
  <si>
    <t>ProdECS_ECS_AppInt_BouApp</t>
  </si>
  <si>
    <t>ProdECS_ECS_AppInt_NoBou</t>
  </si>
  <si>
    <t>ProdECS_ECS_AppSep_BouApp</t>
  </si>
  <si>
    <t>ProdECS_ECS_AppSep_BouAppSol</t>
  </si>
  <si>
    <t>ProdECS_ECS_AppSep_NoBou</t>
  </si>
  <si>
    <t>ProdECS_ET_IM_AppSep_BouApp</t>
  </si>
  <si>
    <t>ProdECS_ET_IM_AppSep_BouAppSol</t>
  </si>
  <si>
    <t>ProdECS_ET_IM_AppSep_NoBou</t>
  </si>
  <si>
    <t>ProdECS_ET_PL_AppInt_BouApp</t>
  </si>
  <si>
    <t>ProdECS_ET_PL_AppInt_NoBou</t>
  </si>
  <si>
    <t>ProdECS_ET_PL_AppSep_BouApp</t>
  </si>
  <si>
    <t>ProdECS_ET_PL_AppSep_BouAppSol</t>
  </si>
  <si>
    <t>ProdECS_ET_PL_AppSep_NoBou</t>
  </si>
  <si>
    <t>Circuit autovidangeable</t>
  </si>
  <si>
    <t>Circuit sous pression</t>
  </si>
  <si>
    <t>Echangeur externe au ballon</t>
  </si>
  <si>
    <t>Echangeur interne au ballon</t>
  </si>
  <si>
    <t>Eau chaude sanitaire</t>
  </si>
  <si>
    <t>Eau technique</t>
  </si>
  <si>
    <t>Appoint séparé</t>
  </si>
  <si>
    <t>Appoint intégré</t>
  </si>
  <si>
    <t>1 ballon solaire</t>
  </si>
  <si>
    <t>2 ballons solaire ou plus</t>
  </si>
  <si>
    <t>Echangeur à plaques et circulateur</t>
  </si>
  <si>
    <t>Echangeur serpentin immergé</t>
  </si>
  <si>
    <t>Pas de bouclage sanitaire</t>
  </si>
  <si>
    <t>Bouclage sanitaire réchauffé par l'appoint</t>
  </si>
  <si>
    <t>Bouclage sanitaire réchauffé par le solaire ou l'appoint</t>
  </si>
  <si>
    <t>Erreur</t>
  </si>
  <si>
    <t>Caractéristiques du bouclage sanitaire</t>
  </si>
  <si>
    <t>Caractéristiques du stockage</t>
  </si>
  <si>
    <t>Caractéristiques du circuit solaire</t>
  </si>
  <si>
    <t xml:space="preserve">Circuit : </t>
  </si>
  <si>
    <t xml:space="preserve">Echangeur : </t>
  </si>
  <si>
    <t>Fluide de stockage :</t>
  </si>
  <si>
    <t>Type d'appoint :</t>
  </si>
  <si>
    <t>Nombre de ballons :</t>
  </si>
  <si>
    <t>Caractéristiques de l'appoint</t>
  </si>
  <si>
    <t>Appoint :</t>
  </si>
  <si>
    <t>Hydraulique</t>
  </si>
  <si>
    <t>Electrique</t>
  </si>
  <si>
    <t>Capteur-EE-DB-AppHydrau</t>
  </si>
  <si>
    <t>Capteur-EE-P-AppHydrau</t>
  </si>
  <si>
    <t>Capteur-EI-DB-AppHydrau</t>
  </si>
  <si>
    <t>Capteur-EI-P-AppHydrau</t>
  </si>
  <si>
    <t>Capteur-EE-DB-AppElec</t>
  </si>
  <si>
    <t>Capteur-EE-P-AppElec</t>
  </si>
  <si>
    <t>Capteur-EI-DB-AppElec</t>
  </si>
  <si>
    <t>Capteur-EI-P-AppElec</t>
  </si>
  <si>
    <t>Sto-ECS-1B-EchInt-AppIntHydrau-BouApp</t>
  </si>
  <si>
    <t>Sto-ECS-1B-EchInt-AppIntHydrau-NoBou</t>
  </si>
  <si>
    <t>Sto-ECS-1B-NoEch-AppIntHydrau-BouApp</t>
  </si>
  <si>
    <t>Sto-ECS-1B-NoEch-AppIntHydrau-NoBou</t>
  </si>
  <si>
    <t>Sto-ET_PL-1B-EchInt-AppIntHydrau-BouApp</t>
  </si>
  <si>
    <t>Sto-ET_PL-1B-EchInt-AppIntHydrau-NoBou</t>
  </si>
  <si>
    <t>Sto-ET_PL-1B-NoEch-AppIntHydrau-BouApp</t>
  </si>
  <si>
    <t>Sto-ET_PL-1B-NoEch-AppIntHydrau-NoBou</t>
  </si>
  <si>
    <t>Sto-ECS-1B-EchInt-AppSepHydrau-BouApp</t>
  </si>
  <si>
    <t>Sto-ECS-1B-EchInt-AppSepHydrau-BouAppSol</t>
  </si>
  <si>
    <t>Sto-ECS-1B-EchInt-AppSepHydrau-NoBou</t>
  </si>
  <si>
    <t>Sto-ECS-1B-NoEch-AppSepHydrau-BouApp</t>
  </si>
  <si>
    <t>Sto-ECS-1B-NoEch-AppSepHydrau-BouAppSol</t>
  </si>
  <si>
    <t>Sto-ECS-1B-NoEch-AppSepHydrau-NoBou</t>
  </si>
  <si>
    <t>Sto-ECS-2B-EchInt-AppSepHydrau-BouApp</t>
  </si>
  <si>
    <t>Sto-ECS-2B-EchInt-AppSepHydrau-BouAppSol</t>
  </si>
  <si>
    <t>Sto-ECS-2B-EchInt-AppSepHydrau-NoBou</t>
  </si>
  <si>
    <t>Sto-ECS-2B-NoEch-AppSepHydrau-BouApp</t>
  </si>
  <si>
    <t>Sto-ECS-2B-NoEch-AppSepHydrau-BouAppSol</t>
  </si>
  <si>
    <t>Sto-ECS-2B-NoEch-AppSepHydrau-NoBou</t>
  </si>
  <si>
    <t>Sto-ET_IM-1B-EchInt-AppSepHydrau-BouApp</t>
  </si>
  <si>
    <t>Sto-ET_IM-1B-EchInt-AppSepHydrau-BouAppSol</t>
  </si>
  <si>
    <t>Sto-ET_IM-1B-EchInt-AppSepHydrau-NoBou</t>
  </si>
  <si>
    <t>Sto-ET_IM-1B-NoEch-AppSepHydrau-BouApp</t>
  </si>
  <si>
    <t>Sto-ET_IM-1B-NoEch-AppSepHydrau-BouAppSol</t>
  </si>
  <si>
    <t>Sto-ET_IM-1B-NoEch-AppSepHydrau-NoBou</t>
  </si>
  <si>
    <t>Sto-ET_PL-1B-EchInt-AppSepHydrau-BouApp</t>
  </si>
  <si>
    <t>Sto-ET_PL-1B-EchInt-AppSepHydrau-BouAppSol</t>
  </si>
  <si>
    <t>Sto-ET_PL-1B-EchInt-AppSepHydrau-NoBou</t>
  </si>
  <si>
    <t>Sto-ET_PL-1B-NoEch-AppSepHydrau-BouApp</t>
  </si>
  <si>
    <t>Sto-ET_PL-1B-NoEch-AppSepHydrau-BouAppSol</t>
  </si>
  <si>
    <t>Sto-ET_PL-1B-NoEch-AppSepHydrau-NoBou</t>
  </si>
  <si>
    <t>Sto-ET_PL-2B-EchInt-AppSepHydrau-BouApp</t>
  </si>
  <si>
    <t>Sto-ET_PL-2B-EchInt-AppSepHydrau-BouAppSol</t>
  </si>
  <si>
    <t>Sto-ET_PL-2B-EchInt-AppSepHydrau-NoBou</t>
  </si>
  <si>
    <t>Sto-ET_PL-2B-NoEch-AppSepHydrau-BouApp</t>
  </si>
  <si>
    <t>Sto-ET_PL-2B-NoEch-AppSepHydrau-BouAppSol</t>
  </si>
  <si>
    <t>Sto-ET_PL-2B-NoEch-AppSepHydrau-NoBou</t>
  </si>
  <si>
    <t>Sto-ECS-1B-EchInt-AppIntElec-BouApp</t>
  </si>
  <si>
    <t>Sto-ECS-1B-EchInt-AppIntElec-NoBou</t>
  </si>
  <si>
    <t>Sto-ECS-1B-EchInt-AppSepElec-BouApp</t>
  </si>
  <si>
    <t>Sto-ECS-1B-EchInt-AppSepElec-BouAppSol</t>
  </si>
  <si>
    <t>Sto-ECS-1B-EchInt-AppSepElec-NoBou</t>
  </si>
  <si>
    <t>Sto-ECS-1B-NoEch-AppIntElec-BouApp</t>
  </si>
  <si>
    <t>Sto-ECS-1B-NoEch-AppIntElec-NoBou</t>
  </si>
  <si>
    <t>Sto-ECS-1B-NoEch-AppSepElec-BouApp</t>
  </si>
  <si>
    <t>Sto-ECS-1B-NoEch-AppSepElec-BouAppSol</t>
  </si>
  <si>
    <t>Sto-ECS-1B-NoEch-AppSepElec-NoBou</t>
  </si>
  <si>
    <t>Sto-ECS-2B-EchInt-AppSepElec-BouApp</t>
  </si>
  <si>
    <t>Sto-ECS-2B-EchInt-AppSepElec-BouAppSol</t>
  </si>
  <si>
    <t>Sto-ECS-2B-EchInt-AppSepElec-NoBou</t>
  </si>
  <si>
    <t>Sto-ECS-2B-NoEch-AppSepElec-BouApp</t>
  </si>
  <si>
    <t>Sto-ECS-2B-NoEch-AppSepElec-BouAppSol</t>
  </si>
  <si>
    <t>Sto-ECS-2B-NoEch-AppSepElec-NoBou</t>
  </si>
  <si>
    <t>Sto-ET_IM-1B-EchInt-AppSepElec-BouApp</t>
  </si>
  <si>
    <t>Sto-ET_IM-1B-EchInt-AppSepElec-BouAppSol</t>
  </si>
  <si>
    <t>Sto-ET_IM-1B-EchInt-AppSepElec-NoBou</t>
  </si>
  <si>
    <t>Sto-ET_IM-1B-NoEch-AppSepElec-BouApp</t>
  </si>
  <si>
    <t>Sto-ET_IM-1B-NoEch-AppSepElec-BouAppSol</t>
  </si>
  <si>
    <t>Sto-ET_IM-1B-NoEch-AppSepElec-NoBou</t>
  </si>
  <si>
    <t>Sto-ET_PL-1B-EchInt-AppIntElec-BouApp</t>
  </si>
  <si>
    <t>Sto-ET_PL-1B-EchInt-AppIntElec-NoBou</t>
  </si>
  <si>
    <t>Sto-ET_PL-1B-EchInt-AppSepElec-BouApp</t>
  </si>
  <si>
    <t>Sto-ET_PL-1B-EchInt-AppSepElec-BouAppSol</t>
  </si>
  <si>
    <t>Sto-ET_PL-1B-EchInt-AppSepElec-NoBou</t>
  </si>
  <si>
    <t>Sto-ET_PL-1B-NoEch-AppIntElec-BouApp</t>
  </si>
  <si>
    <t>Sto-ET_PL-1B-NoEch-AppIntElec-NoBou</t>
  </si>
  <si>
    <t>Sto-ET_PL-1B-NoEch-AppSepElec-BouApp</t>
  </si>
  <si>
    <t>Sto-ET_PL-1B-NoEch-AppSepElec-BouAppSol</t>
  </si>
  <si>
    <t>Sto-ET_PL-1B-NoEch-AppSepElec-NoBou</t>
  </si>
  <si>
    <t>Sto-ET_PL-2B-EchInt-AppSepElec-BouApp</t>
  </si>
  <si>
    <t>Sto-ET_PL-2B-EchInt-AppSepElec-BouAppSol</t>
  </si>
  <si>
    <t>Sto-ET_PL-2B-EchInt-AppSepElec-NoBou</t>
  </si>
  <si>
    <t>Sto-ET_PL-2B-NoEch-AppSepElec-BouApp</t>
  </si>
  <si>
    <t>Sto-ET_PL-2B-NoEch-AppSepElec-BouAppSol</t>
  </si>
  <si>
    <t>Sto-ET_PL-2B-NoEch-AppSepElec-NoBou</t>
  </si>
  <si>
    <r>
      <t xml:space="preserve"> - Pertes bouclage &lt; 0,5 x Besoins ECS</t>
    </r>
    <r>
      <rPr>
        <b/>
        <i/>
        <sz val="11"/>
        <color rgb="FF000000"/>
        <rFont val="Calibri Light"/>
        <family val="1"/>
        <scheme val="major"/>
      </rPr>
      <t xml:space="preserve"> pour les bâtiments neufs
 - Pertes bouclage &lt;  Besoins ECS pour les bâtiments existants</t>
    </r>
  </si>
  <si>
    <t xml:space="preserve">Poit de vigilance : </t>
  </si>
  <si>
    <t xml:space="preserve">-Au moins 80% de l'engagement de production de chaleur EnR&amp;R issu de l'étude de faisabilité. </t>
  </si>
  <si>
    <t xml:space="preserve">Engagements du bénéficaire : </t>
  </si>
  <si>
    <t xml:space="preserve">-Si la productivité mensuelle (ou l’énergie solaire utile) réelle est différente de celle prévisionnelle (productivité réelle &lt; 20% productivité prévisionnelle), vérifier que les consommations en m3 d’eau prévisionnelles et réelles soient proches l'une de l'autre (15% d'écart max). Si tel est le cas, prendre contact avec l’installateur ou l’exploitant. En effet, si pour des consommations d’eau mensuelles quasi-similaires entre l’étude et le réel, la productivité a fortement chuté, l’installation présente très certainement un dysfonctionnement qu’il faut rapidement corriger. Si les consommations en ECS sont différentes de 30% de l'étude, il sera nécessaire de refaire un calcul théorique avec les données d'ensoleillement réelles du site et les valeurs réelles de puisage (cf Onglet rappel théorique suivi). </t>
  </si>
  <si>
    <r>
      <t>Attention</t>
    </r>
    <r>
      <rPr>
        <b/>
        <i/>
        <sz val="11"/>
        <rFont val="Cambria"/>
        <family val="1"/>
      </rPr>
      <t xml:space="preserve"> : </t>
    </r>
  </si>
  <si>
    <t>Productivité moyenne annuelle =total annuel énergie solaire utile / surface capteurs [kWh/m²]</t>
  </si>
  <si>
    <t>TOTAL</t>
  </si>
  <si>
    <t>0 - (année de référence)</t>
  </si>
  <si>
    <t>Calculé</t>
  </si>
  <si>
    <t>Calculé
comprenant apport au puisage, au bouclage et au chauffage</t>
  </si>
  <si>
    <t>Valeurs étude de dimensionnement</t>
  </si>
  <si>
    <r>
      <t xml:space="preserve"> relevé compteur   </t>
    </r>
    <r>
      <rPr>
        <b/>
        <sz val="8"/>
        <rFont val="Cambria"/>
        <family val="1"/>
      </rPr>
      <t xml:space="preserve">     Energie solaire utile pour le chauffage</t>
    </r>
  </si>
  <si>
    <r>
      <t xml:space="preserve"> relevé compteur   </t>
    </r>
    <r>
      <rPr>
        <b/>
        <sz val="8"/>
        <rFont val="Cambria"/>
        <family val="1"/>
      </rPr>
      <t xml:space="preserve">     Energie solaire utile pour le réchauffage du bouclage sanitaire</t>
    </r>
  </si>
  <si>
    <r>
      <rPr>
        <sz val="8"/>
        <rFont val="Cambria"/>
        <family val="1"/>
      </rPr>
      <t>relevé compteur</t>
    </r>
    <r>
      <rPr>
        <b/>
        <sz val="8"/>
        <rFont val="Cambria"/>
        <family val="1"/>
      </rPr>
      <t xml:space="preserve">
Energie solaire livrée à l'ECS</t>
    </r>
  </si>
  <si>
    <t xml:space="preserve">Valeurs étude de dimensionnement </t>
  </si>
  <si>
    <r>
      <rPr>
        <sz val="8"/>
        <rFont val="Cambria"/>
        <family val="1"/>
      </rPr>
      <t>relevé  sur compteur</t>
    </r>
    <r>
      <rPr>
        <b/>
        <sz val="8"/>
        <rFont val="Cambria"/>
        <family val="1"/>
      </rPr>
      <t xml:space="preserve"> Volume ECS consommée</t>
    </r>
    <r>
      <rPr>
        <sz val="8"/>
        <rFont val="Cambria"/>
        <family val="1"/>
      </rPr>
      <t xml:space="preserve"> </t>
    </r>
  </si>
  <si>
    <t>Ecart sur Vecs%</t>
  </si>
  <si>
    <t>Vecs réel [m3]</t>
  </si>
  <si>
    <t>Vecs prévisionnel [m3]</t>
  </si>
  <si>
    <t>Index Vecs réel [m3]</t>
  </si>
  <si>
    <t>Date du relevé</t>
  </si>
  <si>
    <t>Mois</t>
  </si>
  <si>
    <t>Si CHAUFFAGE</t>
  </si>
  <si>
    <t>Si BOUCLAGE</t>
  </si>
  <si>
    <t>Température de consigne appoint</t>
  </si>
  <si>
    <t>Surface entrée capteurs [m²] :</t>
  </si>
  <si>
    <t>Volume du ballon solaire [m3]</t>
  </si>
  <si>
    <t>Nom et coordonnées de l'exploitant :</t>
  </si>
  <si>
    <t>Date du début de suivi :</t>
  </si>
  <si>
    <t>Date de mise en service :</t>
  </si>
  <si>
    <t>Adresse de l’installation:</t>
  </si>
  <si>
    <t>Production ECS - Appoint séparé - avec ou sans bouclage</t>
  </si>
  <si>
    <t xml:space="preserve">Tableau de bord de suivi – Année 1 </t>
  </si>
  <si>
    <t>Production ECS - APPOINT INTEGRE - SANS BOUCLAGE</t>
  </si>
  <si>
    <t>Volume du ballon solaire  [m3]</t>
  </si>
  <si>
    <t>Volume du ballon occupé par la partie appoint [m3]</t>
  </si>
  <si>
    <t>m3</t>
  </si>
  <si>
    <t>Température moyenne annuelle du local dans lequel repose le ballon</t>
  </si>
  <si>
    <t>°C</t>
  </si>
  <si>
    <t>Index Qecs [kWh]</t>
  </si>
  <si>
    <t xml:space="preserve">Index Qapp_utile  [kWh] </t>
  </si>
  <si>
    <t xml:space="preserve">Index Qch  [kWh] </t>
  </si>
  <si>
    <t xml:space="preserve">Fsol </t>
  </si>
  <si>
    <r>
      <t>Volume ECS consommée</t>
    </r>
    <r>
      <rPr>
        <sz val="8"/>
        <rFont val="Cambria"/>
        <family val="1"/>
      </rPr>
      <t xml:space="preserve"> relevé  sur compteur </t>
    </r>
  </si>
  <si>
    <r>
      <t xml:space="preserve">relevé sur compteur : </t>
    </r>
    <r>
      <rPr>
        <b/>
        <sz val="8"/>
        <rFont val="Cambria"/>
        <family val="1"/>
      </rPr>
      <t>Energie livrée exclusivement à l'ECS</t>
    </r>
  </si>
  <si>
    <r>
      <t>relevé compteur :</t>
    </r>
    <r>
      <rPr>
        <b/>
        <sz val="8"/>
        <rFont val="Cambria"/>
        <family val="1"/>
      </rPr>
      <t xml:space="preserve"> Energie d'appoint utile sortie chaudière</t>
    </r>
  </si>
  <si>
    <r>
      <t>relevé compteur :</t>
    </r>
    <r>
      <rPr>
        <b/>
        <sz val="8"/>
        <rFont val="Cambria"/>
        <family val="1"/>
      </rPr>
      <t xml:space="preserve"> Energie livrée au chauffage</t>
    </r>
  </si>
  <si>
    <r>
      <t xml:space="preserve">Caculé : </t>
    </r>
    <r>
      <rPr>
        <b/>
        <sz val="8"/>
        <rFont val="Cambria"/>
        <family val="1"/>
      </rPr>
      <t>Pertes du ballon liés au volume d'appoint*</t>
    </r>
  </si>
  <si>
    <t>Calculé : 
Qecs+Qch+ Qst_app-Qapp_utile</t>
  </si>
  <si>
    <t>Calculé :</t>
  </si>
  <si>
    <t>*Qstapp en kWh : Pertes du ballon de référence correspond égal au volume occupé par la partie appoint dans le ballon bi-énergie</t>
  </si>
  <si>
    <r>
      <rPr>
        <b/>
        <sz val="11"/>
        <rFont val="Arial"/>
        <family val="2"/>
      </rPr>
      <t xml:space="preserve">Qst,app = 0,16 . (Vst)^0,5 . [ Tst - Tloc ] . Njm. 24 / 1000               </t>
    </r>
    <r>
      <rPr>
        <sz val="10"/>
        <rFont val="Arial"/>
        <family val="2"/>
      </rPr>
      <t xml:space="preserve">                                                                                                                                                   Vst [l] : volume de stockage de référence égal au volume occupé par la partie appoint dans le ballon bi-énergie, Tst : température de stockage = 55 °C (même si les normes EN 12976 ou ENV 12977 indiquent une température de stockage de référence de 52,5 °C), Tloc : température du local où est situé le ballon (15 °C si local non chauffé), Njm : nombre de jours du mois</t>
    </r>
  </si>
  <si>
    <t>Production ECS - APPOINT INTEGRE - AVEC BOUCLAGE</t>
  </si>
  <si>
    <t>Volume occupé par la partie appoint (ballon de référence Vstconv)</t>
  </si>
  <si>
    <t>SI ABSENCE DE COMPTEUR DE BOUCLAGE ou CHAUFFAGE</t>
  </si>
  <si>
    <t>SI PRESENCE DE COMPTEUR DE BOUCLAGE</t>
  </si>
  <si>
    <t xml:space="preserve">Index QSol  [kWh] </t>
  </si>
  <si>
    <t xml:space="preserve">Qsol  [kWh]     </t>
  </si>
  <si>
    <t xml:space="preserve">Index Qdis[kWh]  </t>
  </si>
  <si>
    <r>
      <t>relevé sur compteur d'</t>
    </r>
    <r>
      <rPr>
        <b/>
        <sz val="8"/>
        <rFont val="Cambria"/>
        <family val="1"/>
      </rPr>
      <t>énergie solaire sur le primaire</t>
    </r>
  </si>
  <si>
    <r>
      <rPr>
        <sz val="8"/>
        <rFont val="Cambria"/>
        <family val="1"/>
      </rPr>
      <t xml:space="preserve"> relevé compteur   </t>
    </r>
    <r>
      <rPr>
        <b/>
        <sz val="8"/>
        <rFont val="Cambria"/>
        <family val="1"/>
      </rPr>
      <t xml:space="preserve">     Energie de maintien en température de la boucle de distribution</t>
    </r>
  </si>
  <si>
    <r>
      <t xml:space="preserve">Calculé : 
</t>
    </r>
    <r>
      <rPr>
        <b/>
        <sz val="8"/>
        <rFont val="Cambria"/>
        <family val="1"/>
      </rPr>
      <t>Qecs+ Qdis + Qch +Qst,app - Qapp_utile</t>
    </r>
  </si>
  <si>
    <t>Calculé : 
Taux de couverture solaire</t>
  </si>
  <si>
    <t>PAC SOLAIRE</t>
  </si>
  <si>
    <t>Puissance de la PAC [kW]</t>
  </si>
  <si>
    <t xml:space="preserve">Index  QPacSol [kWh]    </t>
  </si>
  <si>
    <t xml:space="preserve">QPacSol [kWh]   </t>
  </si>
  <si>
    <t xml:space="preserve">WPacSol [kWh] </t>
  </si>
  <si>
    <t>EnR Utile réelle [kWh]</t>
  </si>
  <si>
    <t>EnR Utile prévisonnelle [kWh]</t>
  </si>
  <si>
    <t>Ecart sur ENR utile%</t>
  </si>
  <si>
    <t>Fpac Taux de couverture PAC [%]</t>
  </si>
  <si>
    <t>COPréel</t>
  </si>
  <si>
    <t>Qecs [kWh]</t>
  </si>
  <si>
    <t>Qdis [kWh]</t>
  </si>
  <si>
    <r>
      <rPr>
        <b/>
        <sz val="8"/>
        <rFont val="Cambria"/>
        <family val="1"/>
      </rPr>
      <t>Volume ECS consommée</t>
    </r>
    <r>
      <rPr>
        <sz val="8"/>
        <rFont val="Cambria"/>
        <family val="1"/>
      </rPr>
      <t xml:space="preserve"> relevé  sur compteur </t>
    </r>
  </si>
  <si>
    <r>
      <rPr>
        <sz val="8"/>
        <rFont val="Cambria"/>
        <family val="1"/>
      </rPr>
      <t xml:space="preserve"> relevé compteur : </t>
    </r>
    <r>
      <rPr>
        <b/>
        <sz val="8"/>
        <rFont val="Cambria"/>
        <family val="1"/>
      </rPr>
      <t>Energie d'appoint utile sortie chaudière</t>
    </r>
  </si>
  <si>
    <r>
      <rPr>
        <sz val="8"/>
        <rFont val="Cambria"/>
        <family val="1"/>
      </rPr>
      <t xml:space="preserve"> relevé compteur  : </t>
    </r>
    <r>
      <rPr>
        <b/>
        <sz val="8"/>
        <rFont val="Cambria"/>
        <family val="1"/>
      </rPr>
      <t>Energie relevée sur le compteur sortie PAC</t>
    </r>
  </si>
  <si>
    <r>
      <rPr>
        <sz val="8"/>
        <rFont val="Cambria"/>
        <family val="1"/>
      </rPr>
      <t xml:space="preserve">Calculé : </t>
    </r>
    <r>
      <rPr>
        <b/>
        <sz val="8"/>
        <rFont val="Cambria"/>
        <family val="1"/>
      </rPr>
      <t xml:space="preserve">
Energie sortie PAC  </t>
    </r>
  </si>
  <si>
    <r>
      <rPr>
        <sz val="8"/>
        <rFont val="Cambria"/>
        <family val="1"/>
      </rPr>
      <t xml:space="preserve"> relevé compteur  : </t>
    </r>
    <r>
      <rPr>
        <b/>
        <sz val="8"/>
        <rFont val="Cambria"/>
        <family val="1"/>
      </rPr>
      <t>Energie consommée par la PAC</t>
    </r>
  </si>
  <si>
    <r>
      <t xml:space="preserve">Calculé :   
</t>
    </r>
    <r>
      <rPr>
        <b/>
        <sz val="8"/>
        <rFont val="Cambria"/>
        <family val="1"/>
      </rPr>
      <t>(QPacSol-WPacSol)*0,95</t>
    </r>
  </si>
  <si>
    <t>Calculé :
EnR Utile/ (EnR Utile+Qapp_utile)</t>
  </si>
  <si>
    <r>
      <rPr>
        <sz val="8"/>
        <rFont val="Cambria"/>
        <family val="1"/>
      </rPr>
      <t xml:space="preserve">Calculé :  </t>
    </r>
    <r>
      <rPr>
        <b/>
        <sz val="8"/>
        <rFont val="Cambria"/>
        <family val="1"/>
      </rPr>
      <t>QPacSol/WPacSol</t>
    </r>
  </si>
  <si>
    <r>
      <rPr>
        <sz val="8"/>
        <rFont val="Cambria"/>
        <family val="1"/>
      </rPr>
      <t xml:space="preserve">relevé sur compteur : </t>
    </r>
    <r>
      <rPr>
        <b/>
        <sz val="8"/>
        <rFont val="Cambria"/>
        <family val="1"/>
      </rPr>
      <t>Energie livrée exclusivement à l'ECS</t>
    </r>
  </si>
  <si>
    <r>
      <rPr>
        <sz val="8"/>
        <rFont val="Cambria"/>
        <family val="1"/>
      </rPr>
      <t xml:space="preserve">relevé compteur : </t>
    </r>
    <r>
      <rPr>
        <b/>
        <sz val="8"/>
        <rFont val="Cambria"/>
        <family val="1"/>
      </rPr>
      <t>Energie livrée à la boucle de distribution</t>
    </r>
  </si>
  <si>
    <t xml:space="preserve">Si la production mensuelle réelle est différente de celle prévisionnelle (production réelle &lt; 20% productivité prévisionnelle), vérifier que les consommations en m3 d’eau prévisionnelles et réelles soient proches l'une de l'autre (15% d'écart max). Si tel est le cas, prendre contact avec l’installateur ou l’exploitant. En effet, si pour des consommations d’eau mensuelles quasi-similaires entre l’étude et le réel, la productivité a fortement chuté, l’installation présente très certainement un dysfonctionnement qu’il faut rapidement corriger. Si les consommations en ECS sont différentes de 30% de l'étude, il sera nécessaire de refaire un calcul théorique avec les données d'ensoleillement réelles du site et les valeurs réelles de puisage . </t>
  </si>
  <si>
    <t xml:space="preserve"> - Si l’appoint est réalisé par effet Joule la part de couverture du besoin fournie par la PAC (Fpac ) doit être suppérieur à 90% 
 - COP machine  moyen annuel supérieur à 2,8
</t>
  </si>
  <si>
    <r>
      <t xml:space="preserve"> - Pertes bouclage &lt; 0,5 x Besoins ECS</t>
    </r>
    <r>
      <rPr>
        <b/>
        <i/>
        <sz val="11"/>
        <color rgb="FF000000"/>
        <rFont val="Calibri Light"/>
        <family val="1"/>
        <scheme val="major"/>
      </rPr>
      <t xml:space="preserve"> pour les bâtiments neufs
 - Pertes bouclage &lt;  Besoins ECS pour les bâtiments existants</t>
    </r>
    <r>
      <rPr>
        <b/>
        <i/>
        <sz val="11"/>
        <rFont val="Calibri Light"/>
        <family val="1"/>
        <scheme val="major"/>
      </rPr>
      <t xml:space="preserve">
 - Si la mesure est faite en sortie de PAC et non de ballon, la production sera minorée de 5 % pour tenir compte des pertes d'ou le calcul de l'EnR Utile = (QPacSol-WPacSol)*0,95</t>
    </r>
  </si>
  <si>
    <t>Fichier de Suivi ADEME</t>
  </si>
  <si>
    <t>suivi install TYPE 1</t>
  </si>
  <si>
    <t>suivi install TYPE 2</t>
  </si>
  <si>
    <t>suivi install TYPE 3</t>
  </si>
  <si>
    <t>suivi install TYPE 4</t>
  </si>
  <si>
    <t>Introduction</t>
  </si>
  <si>
    <t xml:space="preserve"> </t>
  </si>
  <si>
    <t xml:space="preserve">Un projet en solaire thermique collectif ne s’arrête pas à la mise en service de l’installation. </t>
  </si>
  <si>
    <r>
      <t xml:space="preserve">Comme le rappelle l’ensemble des outils SOCOL et notamment le guide du </t>
    </r>
    <r>
      <rPr>
        <sz val="11"/>
        <color rgb="FF0070C0"/>
        <rFont val="Arial"/>
        <family val="2"/>
      </rPr>
      <t>commissionnement (avec la Mise en Service Dynamique (MESDyn))</t>
    </r>
    <r>
      <rPr>
        <sz val="11"/>
        <color rgb="FF000000"/>
        <rFont val="Arial"/>
        <family val="2"/>
      </rPr>
      <t xml:space="preserve">, une installation doit avant tout être bien conçue et dimensionnée, puis mise en œuvre par un professionnel qualifié et aboutir à une mise en service dynamique documentée. Ensuite commence la vie de l’ouvrage, qui pourra garantir une production d’eau chaude sanitaire solaire pendant des décennies en étant entretenue et suivie par un professionnel compétent. </t>
    </r>
  </si>
  <si>
    <t>Une installation solaire, aussi bien appréhendée, conçue et installée à sa base peut se voir contrarier par des aléas, ou évènements durant son existence. Une baisse de consommation en Eau Chaude Sanitaire (ECS), un organe défaillant ou usé prématurément… peuvent impacter les performances de l’installation solaire sans que l’usager (ou Maitre d’Ouvrage) ne s’en aperçoive.  L’appoint étant toujours positionné en aval du système solaire, celui-ci assure en permanence la fourniture en chaleur.</t>
  </si>
  <si>
    <t>Ainsi une défaillance d’une installation solaire aura en priorité pour conséquence d’augmenter les consommations énergétiques de l’appoint mais également d’augmenter le risque de dégradations/usures de cette dernière.</t>
  </si>
  <si>
    <r>
      <t>Le suivi est le seul moyen de garantir le bon fonctionnement de l’installation sur la durée et de mener une exploitation cohérente avec la technologie et les économies générées.</t>
    </r>
    <r>
      <rPr>
        <sz val="11"/>
        <color rgb="FF000000"/>
        <rFont val="Arial"/>
        <family val="2"/>
      </rPr>
      <t xml:space="preserve"> </t>
    </r>
  </si>
  <si>
    <t>Il faut donc : Adapter le suivi à la taille de l’installation et aux attentes du maître d’ouvrage</t>
  </si>
  <si>
    <t xml:space="preserve">On peut distinguer 3 types de fonctions de suivi des installations solaires thermiques qui répondent à 3 objectifs complémentaires. Certains outils répondent à un seul des objectifs, d’autres à plusieurs. </t>
  </si>
  <si>
    <t>Ce tableau clarifie les trois niveaux de surveillance, leurs objectifs, et les différentes actions qui y sont associées.</t>
  </si>
  <si>
    <r>
      <t xml:space="preserve">Voici un tableau mettant en évidence les </t>
    </r>
    <r>
      <rPr>
        <b/>
        <u/>
        <sz val="11"/>
        <color rgb="FFE97132"/>
        <rFont val="Arial"/>
        <family val="2"/>
      </rPr>
      <t>trois niveaux de surveillance</t>
    </r>
    <r>
      <rPr>
        <sz val="11"/>
        <color rgb="FFE97132"/>
        <rFont val="Arial"/>
        <family val="2"/>
      </rPr>
      <t xml:space="preserve"> </t>
    </r>
    <r>
      <rPr>
        <sz val="11"/>
        <color rgb="FF0070C0"/>
        <rFont val="Arial"/>
        <family val="2"/>
      </rPr>
      <t>avec leurs caractéristiques et actions associées :</t>
    </r>
  </si>
  <si>
    <t>Métrologie minimale pour les bilans énergétiques</t>
  </si>
  <si>
    <t>a) Schémathèque et emplacement de la métrologie</t>
  </si>
  <si>
    <t>Le matériel de suivi à mettre en place (nombre et emplacement des compteurs) dépend principalement de deux paramètres :</t>
  </si>
  <si>
    <t>On peut ainsi définir quelques « schémas-type » d’installation solaire, correspondant aux différentes configurations d’instrumentation et d’exploitations des mesures.</t>
  </si>
  <si>
    <t>Deux types de compteurs sont utilisés :</t>
  </si>
  <si>
    <t>L’énergie est systématiquement relevée.</t>
  </si>
  <si>
    <r>
      <t>§</t>
    </r>
    <r>
      <rPr>
        <sz val="11"/>
        <color rgb="FF000000"/>
        <rFont val="Times New Roman"/>
        <family val="1"/>
      </rPr>
      <t xml:space="preserve">  </t>
    </r>
    <r>
      <rPr>
        <sz val="11"/>
        <color rgb="FF000000"/>
        <rFont val="Arial"/>
        <family val="2"/>
      </rPr>
      <t xml:space="preserve">Positionnement de l’appoint : </t>
    </r>
    <r>
      <rPr>
        <b/>
        <sz val="11"/>
        <color rgb="FF000000"/>
        <rFont val="Arial"/>
        <family val="2"/>
      </rPr>
      <t>intégré</t>
    </r>
    <r>
      <rPr>
        <sz val="11"/>
        <color rgb="FF000000"/>
        <rFont val="Arial"/>
        <family val="2"/>
      </rPr>
      <t xml:space="preserve"> au ballon solaire ou </t>
    </r>
    <r>
      <rPr>
        <b/>
        <sz val="11"/>
        <color rgb="FF000000"/>
        <rFont val="Arial"/>
        <family val="2"/>
      </rPr>
      <t>séparé</t>
    </r>
  </si>
  <si>
    <r>
      <t>§</t>
    </r>
    <r>
      <rPr>
        <sz val="11"/>
        <color rgb="FF000000"/>
        <rFont val="Times New Roman"/>
        <family val="1"/>
      </rPr>
      <t xml:space="preserve">  </t>
    </r>
    <r>
      <rPr>
        <sz val="11"/>
        <color rgb="FF000000"/>
        <rFont val="Arial"/>
        <family val="2"/>
      </rPr>
      <t xml:space="preserve">Présence ou non d’un bouclage sur le ballon solaire  </t>
    </r>
  </si>
  <si>
    <r>
      <t>Le volume d’eau</t>
    </r>
    <r>
      <rPr>
        <sz val="11"/>
        <color rgb="FF000000"/>
        <rFont val="Arial"/>
        <family val="2"/>
      </rPr>
      <t xml:space="preserve"> ne l’est que sur le compteur placé sur le réseau d’eau sanitaire, en entrée du stock solaire.</t>
    </r>
  </si>
  <si>
    <r>
      <t>Sont présentés dans les paragraphes suivants</t>
    </r>
    <r>
      <rPr>
        <sz val="11"/>
        <color rgb="FF000000"/>
        <rFont val="Arial"/>
        <family val="2"/>
      </rPr>
      <t xml:space="preserve"> :</t>
    </r>
  </si>
  <si>
    <r>
      <t>§</t>
    </r>
    <r>
      <rPr>
        <sz val="11"/>
        <color rgb="FF000000"/>
        <rFont val="Times New Roman"/>
        <family val="1"/>
      </rPr>
      <t xml:space="preserve">  </t>
    </r>
    <r>
      <rPr>
        <sz val="11"/>
        <color rgb="FF000000"/>
        <rFont val="Arial"/>
        <family val="2"/>
      </rPr>
      <t>La métrologie minimale à installer</t>
    </r>
  </si>
  <si>
    <r>
      <t>§</t>
    </r>
    <r>
      <rPr>
        <sz val="11"/>
        <color rgb="FF000000"/>
        <rFont val="Times New Roman"/>
        <family val="1"/>
      </rPr>
      <t xml:space="preserve">  </t>
    </r>
    <r>
      <rPr>
        <sz val="11"/>
        <color rgb="FF000000"/>
        <rFont val="Arial"/>
        <family val="2"/>
      </rPr>
      <t>Les mesures et calculs à effectuer pour obtenir le besoin énergétique pour le soutirage d’eau chaude (BECS) et l’énergie solaire utile produite (Eu)</t>
    </r>
  </si>
  <si>
    <r>
      <t xml:space="preserve">¤ Compteur d’énergie thermique : constitué par deux sondes de température (une « chaude »  </t>
    </r>
    <r>
      <rPr>
        <b/>
        <sz val="11"/>
        <color rgb="FFFF0000"/>
        <rFont val="Arial"/>
        <family val="2"/>
      </rPr>
      <t>T</t>
    </r>
    <r>
      <rPr>
        <sz val="11"/>
        <color rgb="FF000000"/>
        <rFont val="Arial"/>
        <family val="2"/>
      </rPr>
      <t xml:space="preserve">  et une « froide »    </t>
    </r>
    <r>
      <rPr>
        <b/>
        <sz val="11"/>
        <color rgb="FF0000FF"/>
        <rFont val="Arial"/>
        <family val="2"/>
      </rPr>
      <t xml:space="preserve">T  </t>
    </r>
    <r>
      <rPr>
        <sz val="11"/>
        <color rgb="FF000000"/>
        <rFont val="Arial"/>
        <family val="2"/>
      </rPr>
      <t xml:space="preserve">, un compteur volumétrique   </t>
    </r>
    <r>
      <rPr>
        <b/>
        <sz val="11"/>
        <color rgb="FF000000"/>
        <rFont val="Calibri"/>
        <family val="2"/>
      </rPr>
      <t xml:space="preserve">V       </t>
    </r>
    <r>
      <rPr>
        <sz val="11"/>
        <color rgb="FF000000"/>
        <rFont val="Arial"/>
        <family val="2"/>
      </rPr>
      <t xml:space="preserve">et un module de calcul et d’affichage  </t>
    </r>
    <r>
      <rPr>
        <b/>
        <sz val="11"/>
        <color rgb="FF000000"/>
        <rFont val="Calibri"/>
        <family val="2"/>
      </rPr>
      <t>C</t>
    </r>
    <r>
      <rPr>
        <b/>
        <vertAlign val="subscript"/>
        <sz val="11"/>
        <color rgb="FF000000"/>
        <rFont val="Calibri"/>
        <family val="2"/>
      </rPr>
      <t xml:space="preserve"> </t>
    </r>
    <r>
      <rPr>
        <b/>
        <sz val="11"/>
        <color rgb="FF000000"/>
        <rFont val="Calibri"/>
        <family val="2"/>
      </rPr>
      <t xml:space="preserve">1 </t>
    </r>
    <r>
      <rPr>
        <sz val="11"/>
        <color rgb="FF000000"/>
        <rFont val="Arial"/>
        <family val="2"/>
      </rPr>
      <t xml:space="preserve"> , il fournit deux informations : </t>
    </r>
    <r>
      <rPr>
        <b/>
        <sz val="11"/>
        <color rgb="FF000000"/>
        <rFont val="Arial"/>
        <family val="2"/>
      </rPr>
      <t>l’énergie (E1)</t>
    </r>
    <r>
      <rPr>
        <sz val="11"/>
        <color rgb="FF000000"/>
        <rFont val="Arial"/>
        <family val="2"/>
      </rPr>
      <t xml:space="preserve"> et le </t>
    </r>
    <r>
      <rPr>
        <b/>
        <sz val="11"/>
        <color rgb="FF000000"/>
        <rFont val="Arial"/>
        <family val="2"/>
      </rPr>
      <t>volume (V1)</t>
    </r>
    <r>
      <rPr>
        <sz val="11"/>
        <color rgb="FF000000"/>
        <rFont val="Arial"/>
        <family val="2"/>
      </rPr>
      <t xml:space="preserve"> qui a traversé le compteur.</t>
    </r>
  </si>
  <si>
    <r>
      <t>¤</t>
    </r>
    <r>
      <rPr>
        <sz val="11"/>
        <color rgb="FF000000"/>
        <rFont val="Times New Roman"/>
        <family val="1"/>
      </rPr>
      <t xml:space="preserve">  </t>
    </r>
    <r>
      <rPr>
        <sz val="11"/>
        <color rgb="FF000000"/>
        <rFont val="Arial"/>
        <family val="2"/>
      </rPr>
      <t>Compteur électrique : il fournit uniquement une énergie (E1).</t>
    </r>
  </si>
  <si>
    <t xml:space="preserve">b) Appoint séparé  </t>
  </si>
  <si>
    <t>→ Un compteur d’énergie sur l’eau sanitaire aux bornes du ou des ballon(s) solaire(s).</t>
  </si>
  <si>
    <t>Pour pallier le fait que la température de l’eau dans le ballon solaire peut être plus élevée que la température de consigne de l’appoint, on calcule une différence de température (moyenne mensuelle) entre l’entrée et la sortie du ballon solaire :</t>
  </si>
  <si>
    <t>ΔT = E1 / (Cv x V1)</t>
  </si>
  <si>
    <t>La température d’eau chaude « corrigée » prise en compte pour calculer les besoins est donc :</t>
  </si>
  <si>
    <t>Eu = E1</t>
  </si>
  <si>
    <r>
      <t>•</t>
    </r>
    <r>
      <rPr>
        <sz val="11"/>
        <color rgb="FF000000"/>
        <rFont val="Times New Roman"/>
        <family val="1"/>
      </rPr>
      <t xml:space="preserve">        </t>
    </r>
    <r>
      <rPr>
        <b/>
        <sz val="11"/>
        <color rgb="FF000000"/>
        <rFont val="Arial"/>
        <family val="2"/>
      </rPr>
      <t xml:space="preserve">Calcul des besoins en ECS </t>
    </r>
  </si>
  <si>
    <r>
      <t>T</t>
    </r>
    <r>
      <rPr>
        <vertAlign val="subscript"/>
        <sz val="11"/>
        <color rgb="FF000000"/>
        <rFont val="Arial"/>
        <family val="2"/>
      </rPr>
      <t>EC</t>
    </r>
    <r>
      <rPr>
        <sz val="11"/>
        <color rgb="FF000000"/>
        <rFont val="Arial"/>
        <family val="2"/>
      </rPr>
      <t xml:space="preserve"> = max (Tcons ; T</t>
    </r>
    <r>
      <rPr>
        <vertAlign val="subscript"/>
        <sz val="11"/>
        <color rgb="FF000000"/>
        <rFont val="Arial"/>
        <family val="2"/>
      </rPr>
      <t>EF</t>
    </r>
    <r>
      <rPr>
        <sz val="11"/>
        <color rgb="FF000000"/>
        <rFont val="Arial"/>
        <family val="2"/>
      </rPr>
      <t xml:space="preserve"> + ΔT)</t>
    </r>
  </si>
  <si>
    <r>
      <t>•</t>
    </r>
    <r>
      <rPr>
        <sz val="11"/>
        <color rgb="FF000000"/>
        <rFont val="Times New Roman"/>
        <family val="1"/>
      </rPr>
      <t xml:space="preserve">        </t>
    </r>
    <r>
      <rPr>
        <b/>
        <sz val="11"/>
        <color rgb="FF000000"/>
        <rFont val="Arial"/>
        <family val="2"/>
      </rPr>
      <t xml:space="preserve">Mesure de l’Energie solaire utile </t>
    </r>
  </si>
  <si>
    <r>
      <t xml:space="preserve">Et : </t>
    </r>
    <r>
      <rPr>
        <b/>
        <sz val="11"/>
        <color rgb="FF000000"/>
        <rFont val="Arial"/>
        <family val="2"/>
      </rPr>
      <t xml:space="preserve"> </t>
    </r>
    <r>
      <rPr>
        <sz val="11"/>
        <color rgb="FF000000"/>
        <rFont val="Arial"/>
        <family val="2"/>
      </rPr>
      <t>B</t>
    </r>
    <r>
      <rPr>
        <vertAlign val="subscript"/>
        <sz val="11"/>
        <color rgb="FF000000"/>
        <rFont val="Arial"/>
        <family val="2"/>
      </rPr>
      <t>ECS</t>
    </r>
    <r>
      <rPr>
        <b/>
        <sz val="11"/>
        <color rgb="FF000000"/>
        <rFont val="Arial"/>
        <family val="2"/>
      </rPr>
      <t xml:space="preserve"> </t>
    </r>
    <r>
      <rPr>
        <sz val="11"/>
        <color rgb="FF000000"/>
        <rFont val="Arial"/>
        <family val="2"/>
      </rPr>
      <t>= V1 x Cv x (</t>
    </r>
    <r>
      <rPr>
        <b/>
        <sz val="11"/>
        <color rgb="FFFF0000"/>
        <rFont val="Arial"/>
        <family val="2"/>
      </rPr>
      <t>T</t>
    </r>
    <r>
      <rPr>
        <sz val="11"/>
        <color rgb="FF000000"/>
        <rFont val="Arial"/>
        <family val="2"/>
      </rPr>
      <t xml:space="preserve">EC – </t>
    </r>
    <r>
      <rPr>
        <b/>
        <sz val="11"/>
        <color rgb="FF0070C0"/>
        <rFont val="Arial"/>
        <family val="2"/>
      </rPr>
      <t>T</t>
    </r>
    <r>
      <rPr>
        <sz val="11"/>
        <color rgb="FF000000"/>
        <rFont val="Arial"/>
        <family val="2"/>
      </rPr>
      <t>EF)</t>
    </r>
  </si>
  <si>
    <t xml:space="preserve">c) Appoint intégré  </t>
  </si>
  <si>
    <t>→ 1 Compteur d’énergie sur l’eau sanitaire,</t>
  </si>
  <si>
    <t xml:space="preserve">1 compteur d’énergie sur le bouclage </t>
  </si>
  <si>
    <t xml:space="preserve">                      +</t>
  </si>
  <si>
    <t xml:space="preserve">1 compteur d’énergie électrique ou hydraulique (exemple ci-dessous) </t>
  </si>
  <si>
    <t>Version 1.2 du 17 décembre 2024</t>
  </si>
  <si>
    <r>
      <t>•</t>
    </r>
    <r>
      <rPr>
        <sz val="7"/>
        <color rgb="FF000000"/>
        <rFont val="Times New Roman"/>
        <family val="1"/>
      </rPr>
      <t xml:space="preserve">        </t>
    </r>
    <r>
      <rPr>
        <b/>
        <sz val="12"/>
        <color rgb="FF000000"/>
        <rFont val="Arial"/>
        <family val="2"/>
      </rPr>
      <t xml:space="preserve">Mesure des besoins en ECS </t>
    </r>
    <r>
      <rPr>
        <sz val="12"/>
        <color rgb="FF000000"/>
        <rFont val="Arial"/>
        <family val="2"/>
      </rPr>
      <t>B</t>
    </r>
    <r>
      <rPr>
        <vertAlign val="subscript"/>
        <sz val="12"/>
        <color rgb="FF000000"/>
        <rFont val="Arial"/>
        <family val="2"/>
      </rPr>
      <t>ECS</t>
    </r>
    <r>
      <rPr>
        <sz val="12"/>
        <color rgb="FF000000"/>
        <rFont val="Arial"/>
        <family val="2"/>
      </rPr>
      <t xml:space="preserve"> = E1</t>
    </r>
  </si>
  <si>
    <r>
      <t>•</t>
    </r>
    <r>
      <rPr>
        <sz val="7"/>
        <color rgb="FF000000"/>
        <rFont val="Times New Roman"/>
        <family val="1"/>
      </rPr>
      <t xml:space="preserve">        </t>
    </r>
    <r>
      <rPr>
        <b/>
        <sz val="12"/>
        <color rgb="FF000000"/>
        <rFont val="Arial"/>
        <family val="2"/>
      </rPr>
      <t xml:space="preserve">Mesure de l’énergie d’appoint totale </t>
    </r>
    <r>
      <rPr>
        <sz val="12"/>
        <color rgb="FF000000"/>
        <rFont val="Arial"/>
        <family val="2"/>
      </rPr>
      <t>Eapp = E2</t>
    </r>
  </si>
  <si>
    <r>
      <t>•</t>
    </r>
    <r>
      <rPr>
        <sz val="7"/>
        <color rgb="FF000000"/>
        <rFont val="Times New Roman"/>
        <family val="1"/>
      </rPr>
      <t xml:space="preserve">        </t>
    </r>
    <r>
      <rPr>
        <b/>
        <sz val="12"/>
        <color rgb="FF000000"/>
        <rFont val="Arial"/>
        <family val="2"/>
      </rPr>
      <t xml:space="preserve">Mesure des pertes de bouclage </t>
    </r>
    <r>
      <rPr>
        <sz val="12"/>
        <color rgb="FF000000"/>
        <rFont val="Arial"/>
        <family val="2"/>
      </rPr>
      <t>Pbou = E3</t>
    </r>
  </si>
  <si>
    <r>
      <t>•</t>
    </r>
    <r>
      <rPr>
        <sz val="7"/>
        <color rgb="FF000000"/>
        <rFont val="Times New Roman"/>
        <family val="1"/>
      </rPr>
      <t xml:space="preserve">        </t>
    </r>
    <r>
      <rPr>
        <b/>
        <sz val="12"/>
        <color rgb="FF000000"/>
        <rFont val="Arial"/>
        <family val="2"/>
      </rPr>
      <t xml:space="preserve">Estimation de l’Energie solaire utile  </t>
    </r>
  </si>
  <si>
    <r>
      <t>Eu = B</t>
    </r>
    <r>
      <rPr>
        <vertAlign val="subscript"/>
        <sz val="12"/>
        <color rgb="FF000000"/>
        <rFont val="Arial"/>
        <family val="2"/>
      </rPr>
      <t>ECS</t>
    </r>
    <r>
      <rPr>
        <sz val="12"/>
        <color rgb="FF000000"/>
        <rFont val="Arial"/>
        <family val="2"/>
      </rPr>
      <t xml:space="preserve"> + Pbou  – (Eapp - Papp) = E1 + E3 – (E2 – Papp) </t>
    </r>
  </si>
  <si>
    <t>Avec</t>
  </si>
  <si>
    <t>Avec :  N = nombre de jours dans le mois</t>
  </si>
  <si>
    <t xml:space="preserve">Papp = 24.N.(Tecs – Tlocal).D.Vapp / Vn / 1000            (kWh/mois) </t>
  </si>
  <si>
    <t xml:space="preserve">            Tlocal = Température du local dans lequel est situé le ballon de stockage (°C)</t>
  </si>
  <si>
    <t xml:space="preserve">           Tecs = Température de consigne de l’appoint (°C)</t>
  </si>
  <si>
    <t xml:space="preserve">            D = Coefficient de déperditions thermiques du ballon  (W/K)</t>
  </si>
  <si>
    <t xml:space="preserve">            Vapp = Capacité du ballon pouvant être chauffée par l’appoint (L)</t>
  </si>
  <si>
    <t xml:space="preserve">            Vn = Capacité nominale du ballon (L)</t>
  </si>
  <si>
    <t>d) CESCAI</t>
  </si>
  <si>
    <t>→ 1 compteur d’énergie sur l’eau sanitaire (mitigeur compris)</t>
  </si>
  <si>
    <t>+</t>
  </si>
  <si>
    <t>1 compteur d’énergie sur la part du retour bouclage passant par le ballon solaire</t>
  </si>
  <si>
    <r>
      <t></t>
    </r>
    <r>
      <rPr>
        <sz val="12"/>
        <color rgb="FF000000"/>
        <rFont val="Arial"/>
        <family val="2"/>
      </rPr>
      <t xml:space="preserve"> </t>
    </r>
    <r>
      <rPr>
        <b/>
        <sz val="12"/>
        <color rgb="FF000000"/>
        <rFont val="Arial"/>
        <family val="2"/>
      </rPr>
      <t xml:space="preserve">Calcul des besoins en ECS </t>
    </r>
  </si>
  <si>
    <t>ΔT = E1/(Cv x V1)</t>
  </si>
  <si>
    <r>
      <t>T</t>
    </r>
    <r>
      <rPr>
        <vertAlign val="subscript"/>
        <sz val="12"/>
        <color rgb="FF000000"/>
        <rFont val="Arial"/>
        <family val="2"/>
      </rPr>
      <t>EC</t>
    </r>
    <r>
      <rPr>
        <sz val="12"/>
        <color rgb="FF000000"/>
        <rFont val="Arial"/>
        <family val="2"/>
      </rPr>
      <t xml:space="preserve"> = max (Tcons ; T</t>
    </r>
    <r>
      <rPr>
        <vertAlign val="subscript"/>
        <sz val="12"/>
        <color rgb="FF000000"/>
        <rFont val="Arial"/>
        <family val="2"/>
      </rPr>
      <t>EF</t>
    </r>
    <r>
      <rPr>
        <sz val="12"/>
        <color rgb="FF000000"/>
        <rFont val="Arial"/>
        <family val="2"/>
      </rPr>
      <t xml:space="preserve"> + ΔT)</t>
    </r>
  </si>
  <si>
    <r>
      <t></t>
    </r>
    <r>
      <rPr>
        <sz val="12"/>
        <color rgb="FF000000"/>
        <rFont val="Arial"/>
        <family val="2"/>
      </rPr>
      <t xml:space="preserve"> </t>
    </r>
    <r>
      <rPr>
        <b/>
        <sz val="12"/>
        <color rgb="FF000000"/>
        <rFont val="Arial"/>
        <family val="2"/>
      </rPr>
      <t xml:space="preserve">Mesure de l’Energie solaire utile </t>
    </r>
  </si>
  <si>
    <r>
      <t>Si on veut faire une comparaison avec un calcul SOLO, on doit déduire les pertes de bouclage E2 à l’énergie solaire utile théorique calculée par la méthode SOLO (Eu</t>
    </r>
    <r>
      <rPr>
        <vertAlign val="subscript"/>
        <sz val="12"/>
        <color rgb="FF000000"/>
        <rFont val="Arial"/>
        <family val="2"/>
      </rPr>
      <t>thSOLO</t>
    </r>
    <r>
      <rPr>
        <sz val="12"/>
        <color rgb="FF000000"/>
        <rFont val="Arial"/>
        <family val="2"/>
      </rPr>
      <t>).</t>
    </r>
  </si>
  <si>
    <t xml:space="preserve">Attention toutefois, cela permet de vérifier un bon fonctionnement global, même avec des pertes E2 importantes… </t>
  </si>
  <si>
    <t>E : BECS = V1 x Cv x (TEC – TEF)</t>
  </si>
  <si>
    <t>L’énergie solaire utile théorique s’écrit alors :  Euth = EuthSOLO – E2</t>
  </si>
  <si>
    <t>e) Appoint séparé et retour contrôlé du bouclage dans le stock solaire ou appoint</t>
  </si>
  <si>
    <t>→ 1 compteur d’énergie sur l’eau sanitaire</t>
  </si>
  <si>
    <t>→ 1 compteur d’énergie sur la partie du bouclage passant par le ballon solaire</t>
  </si>
  <si>
    <r>
      <t xml:space="preserve">et E’2 lorsque </t>
    </r>
    <r>
      <rPr>
        <b/>
        <sz val="11"/>
        <color rgb="FFFF0000"/>
        <rFont val="Arial"/>
        <family val="2"/>
      </rPr>
      <t xml:space="preserve">T &lt; </t>
    </r>
    <r>
      <rPr>
        <b/>
        <sz val="11"/>
        <color rgb="FF0000FF"/>
        <rFont val="Arial"/>
        <family val="2"/>
      </rPr>
      <t xml:space="preserve">T </t>
    </r>
    <r>
      <rPr>
        <sz val="12"/>
        <color rgb="FF000000"/>
        <rFont val="Arial"/>
        <family val="2"/>
      </rPr>
      <t>(dysfonctionnement de la fonction récupération d’énergie</t>
    </r>
  </si>
  <si>
    <t xml:space="preserve">                                   E2 quand tout se passe comme prévu</t>
  </si>
  <si>
    <t xml:space="preserve">                              C2 doit être réversible, c’est-à-dire compter 2 énergies :</t>
  </si>
  <si>
    <t xml:space="preserve">                               solaire par le bouclage, néfaste au solaire et qui perturbe la mesure de E1) </t>
  </si>
  <si>
    <r>
      <t></t>
    </r>
    <r>
      <rPr>
        <sz val="12"/>
        <color rgb="FF000000"/>
        <rFont val="Arial"/>
        <family val="2"/>
      </rPr>
      <t xml:space="preserve"> </t>
    </r>
    <r>
      <rPr>
        <b/>
        <sz val="12"/>
        <color rgb="FF000000"/>
        <rFont val="Arial"/>
        <family val="2"/>
      </rPr>
      <t xml:space="preserve">Energie solaire utile et besoins </t>
    </r>
  </si>
  <si>
    <r>
      <t>Idem 1</t>
    </r>
    <r>
      <rPr>
        <vertAlign val="superscript"/>
        <sz val="12"/>
        <color rgb="FF000000"/>
        <rFont val="Arial"/>
        <family val="2"/>
      </rPr>
      <t>er</t>
    </r>
    <r>
      <rPr>
        <sz val="12"/>
        <color rgb="FF000000"/>
        <rFont val="Arial"/>
        <family val="2"/>
      </rPr>
      <t xml:space="preserve"> cas, appoint séparé, mais l’énergie solaire qui compense les pertes de bouclage (lorsque la température dans le stock solaire est suffisante) doit être considérée comme partie intégrante de l’énergie solaire utile. On a alors :</t>
    </r>
  </si>
  <si>
    <r>
      <t xml:space="preserve">Eu = E1 + E2 </t>
    </r>
    <r>
      <rPr>
        <b/>
        <sz val="12"/>
        <color rgb="FF000000"/>
        <rFont val="Arial"/>
        <family val="2"/>
      </rPr>
      <t xml:space="preserve">– E’2 </t>
    </r>
  </si>
  <si>
    <t>f) Stockage en eau technique</t>
  </si>
  <si>
    <r>
      <t>•</t>
    </r>
    <r>
      <rPr>
        <sz val="7"/>
        <color rgb="FF000000"/>
        <rFont val="Times New Roman"/>
        <family val="1"/>
      </rPr>
      <t xml:space="preserve">        </t>
    </r>
    <r>
      <rPr>
        <b/>
        <sz val="12"/>
        <color rgb="FF000000"/>
        <rFont val="Arial"/>
        <family val="2"/>
      </rPr>
      <t xml:space="preserve">Calcul des besoins en ECS </t>
    </r>
  </si>
  <si>
    <r>
      <t>•</t>
    </r>
    <r>
      <rPr>
        <sz val="7"/>
        <color rgb="FF000000"/>
        <rFont val="Times New Roman"/>
        <family val="1"/>
      </rPr>
      <t xml:space="preserve">        </t>
    </r>
    <r>
      <rPr>
        <b/>
        <sz val="12"/>
        <color rgb="FF000000"/>
        <rFont val="Arial"/>
        <family val="2"/>
      </rPr>
      <t xml:space="preserve">Mesure de l’Energie solaire utile </t>
    </r>
  </si>
  <si>
    <t>Et :      BECS = V1 x Cv x (TEC – TEF)</t>
  </si>
  <si>
    <t xml:space="preserve">Tableau de bord de suivi </t>
  </si>
  <si>
    <t>Installation Solaire Thermique Collective</t>
  </si>
  <si>
    <t>DENOMINATION DE L'OPERATION</t>
  </si>
  <si>
    <t>Précisez Objet (Solaire Collectif, Agricole, Teritaire, Industriel) - Lieu (Ville et Département) - Numéro de la Convention</t>
  </si>
  <si>
    <t xml:space="preserve">Maître d’ouvrage : </t>
  </si>
  <si>
    <t xml:space="preserve">Personne à contacter : </t>
  </si>
  <si>
    <r>
      <t>(</t>
    </r>
    <r>
      <rPr>
        <sz val="14"/>
        <rFont val="Cambria"/>
        <family val="1"/>
      </rPr>
      <t xml:space="preserve">: </t>
    </r>
  </si>
  <si>
    <t xml:space="preserve">Correspondant ADEME : </t>
  </si>
  <si>
    <t xml:space="preserve">Responsable du suivi : </t>
  </si>
  <si>
    <t xml:space="preserve">TYPE D'INSTALLATION SOLAIRE </t>
  </si>
  <si>
    <t>Nomenclatures :</t>
  </si>
  <si>
    <t>-https://www.solaire-collectif.fr/ftp/pgiArticle/3/Schematheque_SOCOL_ECS_Collective_Fev2016.pdf</t>
  </si>
  <si>
    <t>-https://www.solaire-collectif.fr/achat/les-pac-solaires-sur-capteurs-solaires-non-vitres-ou-pvt/PACSolaires.htm</t>
  </si>
  <si>
    <t>-https://www.solaire-collectif.fr/achat/les-systemes-solaires-combines-pour-les-batiments-collectifs/Livret_SSC.htm</t>
  </si>
  <si>
    <t>Cocher la case correspondante</t>
  </si>
  <si>
    <t xml:space="preserve">CODES COULEUR : </t>
  </si>
  <si>
    <t>□ Production ECS ou SSC - APPOINT SEPARE - AVEC OU SANS BOUCLAGE</t>
  </si>
  <si>
    <t>Remplir Suivi instal TYPE1</t>
  </si>
  <si>
    <r>
      <t xml:space="preserve">cases de relevés d'index à remplir </t>
    </r>
    <r>
      <rPr>
        <b/>
        <sz val="10"/>
        <rFont val="Arial"/>
        <family val="2"/>
      </rPr>
      <t>obligatoirement</t>
    </r>
  </si>
  <si>
    <t>□ Production ECS ou SSC- APPOINT INTEGRE - SANS BOUCLAGE</t>
  </si>
  <si>
    <t>Remplir Suivi instal TYPE2</t>
  </si>
  <si>
    <r>
      <t xml:space="preserve">cases de relevés d'index à remplir </t>
    </r>
    <r>
      <rPr>
        <b/>
        <sz val="10"/>
        <rFont val="Arial"/>
        <family val="2"/>
      </rPr>
      <t>le cas échéant</t>
    </r>
  </si>
  <si>
    <t>□ Production ECS ou SSC - APPOINT INTEGRE - AVEC BOUCLAGE</t>
  </si>
  <si>
    <t>Remplir Suivi instal TYPE3</t>
  </si>
  <si>
    <t>cases à reporter de l'étude de faisabilité</t>
  </si>
  <si>
    <t>□ PAC solaire ECS</t>
  </si>
  <si>
    <t>Remplir Suivi instal TYPE4</t>
  </si>
  <si>
    <t>cases calculées automatiquement</t>
  </si>
  <si>
    <t xml:space="preserve">Notice : </t>
  </si>
  <si>
    <t>Le suivi peut être assuré par le Maître d’Ouvrage avec l’assistance de son installateur ou bien de son exploitant si un contrat adapté le prévoit.</t>
  </si>
  <si>
    <t>Il est obligatoire et doit être réalisé sur une période de 24 mois minimum.</t>
  </si>
  <si>
    <t>En tout état de cause, il est conseillé de suivre son installation tout au long de la durée de vie des équipements afin de garantir des performances maximales.</t>
  </si>
  <si>
    <t>Les valeurs de productivité et de consommations d’eau réelles doivent être comparées avec l'année de référence et également entre le prévisionnel et le réel.</t>
  </si>
  <si>
    <t>Ce suivi doit permettre au Maître d’Ouvrage d’intervenir rapidement sur son installation en cas d’anomalies, en faisant appel à son installateur ou à son exploitant.</t>
  </si>
  <si>
    <t>La procédure doit favoriser le bon fonctionnement de l’installation solaire et ainsi réaliser les économies prévues lors de la conception.</t>
  </si>
  <si>
    <t>Si les conditions décrites en bas de tableaux donnent lieu à vérification, contacter dans les meilleurs délais, l’installateur ou l’exploitant (les cases grisées se remplissent automatiquement et les cases en couleur sont à renseigner; une alerte correspondant à une case qui devient rouge).</t>
  </si>
  <si>
    <r>
      <t>Fsol :</t>
    </r>
    <r>
      <rPr>
        <sz val="11"/>
        <rFont val="Calibri"/>
        <family val="2"/>
      </rPr>
      <t xml:space="preserve"> fraction solaire ou taux de couverture solaire (part de solaire dans les besoin) =ESU/Qecs</t>
    </r>
  </si>
  <si>
    <r>
      <t xml:space="preserve">Fpac : </t>
    </r>
    <r>
      <rPr>
        <sz val="11"/>
        <rFont val="Calibri"/>
        <family val="2"/>
      </rPr>
      <t>Part de production termique assurée par la PAC</t>
    </r>
  </si>
  <si>
    <r>
      <rPr>
        <b/>
        <sz val="11"/>
        <rFont val="Calibri"/>
        <family val="2"/>
        <scheme val="minor"/>
      </rPr>
      <t xml:space="preserve">Qpacsol </t>
    </r>
    <r>
      <rPr>
        <sz val="11"/>
        <rFont val="Calibri"/>
        <family val="2"/>
        <scheme val="minor"/>
      </rPr>
      <t>:  Energie thermique fournie par le condenseur de la PAC et envoyée vers le ballon de préchauffage</t>
    </r>
  </si>
  <si>
    <t>VES prévisionnel</t>
  </si>
  <si>
    <t>Vecs - 15%</t>
  </si>
  <si>
    <t>Vecs +15%</t>
  </si>
  <si>
    <t>Valeurs étude minorée de 15%</t>
  </si>
  <si>
    <t>Valeurs étude majorée de 15%</t>
  </si>
  <si>
    <t>janvier</t>
  </si>
  <si>
    <t>février</t>
  </si>
  <si>
    <t>mars</t>
  </si>
  <si>
    <t>avril</t>
  </si>
  <si>
    <t>mai</t>
  </si>
  <si>
    <t>juin</t>
  </si>
  <si>
    <t>juillet</t>
  </si>
  <si>
    <t>août</t>
  </si>
  <si>
    <t>septembre</t>
  </si>
  <si>
    <t>octobre</t>
  </si>
  <si>
    <t>novembre</t>
  </si>
  <si>
    <t>décembre</t>
  </si>
  <si>
    <t>Valeurs étude minorée de 20%</t>
  </si>
  <si>
    <t>Valeurs étude majorée de 20%</t>
  </si>
  <si>
    <t>ESU prévisionnelle</t>
  </si>
  <si>
    <t>Notions importantes préalable:</t>
  </si>
  <si>
    <t>Q = Chaleur</t>
  </si>
  <si>
    <t>E= Energie Primaire</t>
  </si>
  <si>
    <t>Selon l'EN12977:</t>
  </si>
  <si>
    <t>P = Puissance</t>
  </si>
  <si>
    <t>Q= Energie</t>
  </si>
  <si>
    <t>Selon En15316 -3 / -4:</t>
  </si>
  <si>
    <t>W = conso Electrique</t>
  </si>
  <si>
    <t>Nomenclature En 52000-1</t>
  </si>
  <si>
    <t>1ère lettre</t>
  </si>
  <si>
    <t>Définie la notion d'Energie</t>
  </si>
  <si>
    <t>Solaire</t>
  </si>
  <si>
    <t>S</t>
  </si>
  <si>
    <t>Q</t>
  </si>
  <si>
    <t>Appoint</t>
  </si>
  <si>
    <t>App</t>
  </si>
  <si>
    <t>2nd lettre</t>
  </si>
  <si>
    <t>Qualifie le "générateur"</t>
  </si>
  <si>
    <t>Utile</t>
  </si>
  <si>
    <t>U</t>
  </si>
  <si>
    <t>Pertes thermiques</t>
  </si>
  <si>
    <t>Pr</t>
  </si>
  <si>
    <t>3ème lettre</t>
  </si>
  <si>
    <t>précise le type de mesure</t>
  </si>
  <si>
    <t>ECS</t>
  </si>
  <si>
    <t>Bouclage</t>
  </si>
  <si>
    <t>Bcl</t>
  </si>
  <si>
    <t>Piscine</t>
  </si>
  <si>
    <t>Pis</t>
  </si>
  <si>
    <t>Chauffage</t>
  </si>
  <si>
    <t>Ch</t>
  </si>
  <si>
    <t>Qapp</t>
  </si>
  <si>
    <t>Energie Appoint</t>
  </si>
  <si>
    <t>QSU ecs</t>
  </si>
  <si>
    <t>Energie Solaire Utile pour l'ECS</t>
  </si>
  <si>
    <t>QSU bcl</t>
  </si>
  <si>
    <t>Energie Solaire Utile au bouclage</t>
  </si>
  <si>
    <t>QSU pis</t>
  </si>
  <si>
    <t>Energie solaire Utile au chauffage du bassin de la piscine</t>
  </si>
  <si>
    <t>Qpr bcl</t>
  </si>
  <si>
    <t>Pertes du bouclage</t>
  </si>
  <si>
    <t>Qch</t>
  </si>
  <si>
    <t>Energie livrée au chauffage</t>
  </si>
  <si>
    <t>Qsol</t>
  </si>
  <si>
    <t>Energie solaire transmise à l'échangeur solaire (selon la RE2020)</t>
  </si>
  <si>
    <t>Qpr app</t>
  </si>
  <si>
    <t>Pertes de l'appoint</t>
  </si>
  <si>
    <r>
      <rPr>
        <b/>
        <sz val="11"/>
        <rFont val="Calibri"/>
        <family val="2"/>
        <scheme val="minor"/>
      </rPr>
      <t>WPacSo</t>
    </r>
    <r>
      <rPr>
        <sz val="11"/>
        <rFont val="Calibri"/>
        <family val="2"/>
        <scheme val="minor"/>
      </rPr>
      <t xml:space="preserve"> : Energie électrique consommée par la PAC</t>
    </r>
  </si>
  <si>
    <t xml:space="preserve">Index QSU ch[kWh]  </t>
  </si>
  <si>
    <t xml:space="preserve">Index QSU bcl[kWh]  </t>
  </si>
  <si>
    <t xml:space="preserve">Index QSU ecs  [kWh] </t>
  </si>
  <si>
    <t>QSU prévisionnel  [kWh/mois]</t>
  </si>
  <si>
    <t>QSU -20% [kWh/mois)</t>
  </si>
  <si>
    <t>QSU +20% [kWh/mois)</t>
  </si>
  <si>
    <t xml:space="preserve">Energie solaire utile QSU [kWh] </t>
  </si>
  <si>
    <t>Ecart sur QSU%</t>
  </si>
  <si>
    <t xml:space="preserve">Index Qapp_ch [kWh] </t>
  </si>
  <si>
    <t xml:space="preserve">QSU réelle [kWh]                               </t>
  </si>
  <si>
    <t xml:space="preserve">Qpr_app [kWh]     </t>
  </si>
  <si>
    <t xml:space="preserve">Index QSUch[kWh]  </t>
  </si>
  <si>
    <t>Index Qpr bcl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</si>
</sst>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82">
    <font>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0"/>
      <name val="Arial"/>
      <family val="2"/>
    </font>
    <font>
      <b/>
      <i/>
      <sz val="11"/>
      <name val="Calibri Light"/>
      <family val="1"/>
      <scheme val="major"/>
    </font>
    <font>
      <b/>
      <i/>
      <sz val="11"/>
      <color rgb="FF000000"/>
      <name val="Calibri Light"/>
      <family val="1"/>
      <scheme val="major"/>
    </font>
    <font>
      <b/>
      <i/>
      <u/>
      <sz val="11"/>
      <name val="Cambria"/>
      <family val="1"/>
    </font>
    <font>
      <b/>
      <i/>
      <sz val="11"/>
      <name val="Cambria"/>
      <family val="1"/>
    </font>
    <font>
      <sz val="11"/>
      <name val="Cambria"/>
      <family val="1"/>
    </font>
    <font>
      <b/>
      <sz val="10"/>
      <name val="Cambria"/>
      <family val="1"/>
    </font>
    <font>
      <sz val="10"/>
      <name val="Cambria"/>
      <family val="1"/>
    </font>
    <font>
      <sz val="10"/>
      <color rgb="FFFF0000"/>
      <name val="Cambria"/>
      <family val="1"/>
    </font>
    <font>
      <sz val="8"/>
      <name val="Cambria"/>
      <family val="1"/>
    </font>
    <font>
      <b/>
      <sz val="8"/>
      <name val="Cambria"/>
      <family val="1"/>
    </font>
    <font>
      <b/>
      <sz val="8"/>
      <color rgb="FFFF0000"/>
      <name val="Arial"/>
      <family val="2"/>
    </font>
    <font>
      <sz val="10"/>
      <name val="Arial"/>
      <family val="2"/>
    </font>
    <font>
      <u/>
      <sz val="10"/>
      <color indexed="12"/>
      <name val="Arial"/>
      <family val="2"/>
    </font>
    <font>
      <sz val="10"/>
      <name val="Calibri Light"/>
      <family val="1"/>
      <scheme val="major"/>
    </font>
    <font>
      <b/>
      <sz val="10"/>
      <color rgb="FFFF0000"/>
      <name val="Arial"/>
      <family val="2"/>
    </font>
    <font>
      <b/>
      <sz val="14"/>
      <name val="Cambria"/>
      <family val="1"/>
    </font>
    <font>
      <b/>
      <sz val="10"/>
      <color rgb="FFFFFF00"/>
      <name val="Cambria"/>
      <family val="1"/>
    </font>
    <font>
      <b/>
      <sz val="10"/>
      <name val="Arial"/>
      <family val="2"/>
    </font>
    <font>
      <b/>
      <sz val="11"/>
      <name val="Arial"/>
      <family val="2"/>
    </font>
    <font>
      <sz val="10"/>
      <color rgb="FFFFFF00"/>
      <name val="Arial"/>
      <family val="2"/>
    </font>
    <font>
      <b/>
      <sz val="10"/>
      <color theme="1"/>
      <name val="Calibri"/>
      <family val="2"/>
      <scheme val="minor"/>
    </font>
    <font>
      <sz val="8"/>
      <name val="Calibri"/>
      <family val="2"/>
      <scheme val="minor"/>
    </font>
    <font>
      <b/>
      <sz val="16"/>
      <color theme="4"/>
      <name val="Calibri"/>
      <family val="2"/>
      <scheme val="minor"/>
    </font>
    <font>
      <sz val="10"/>
      <color theme="1"/>
      <name val="Arial Unicode MS"/>
      <family val="2"/>
    </font>
    <font>
      <sz val="12"/>
      <color rgb="FF000000"/>
      <name val="Arial"/>
      <family val="2"/>
    </font>
    <font>
      <sz val="11"/>
      <color rgb="FF000000"/>
      <name val="Arial"/>
      <family val="2"/>
    </font>
    <font>
      <b/>
      <sz val="11"/>
      <color rgb="FF000000"/>
      <name val="Arial"/>
      <family val="2"/>
    </font>
    <font>
      <sz val="11"/>
      <color rgb="FF0070C0"/>
      <name val="Arial"/>
      <family val="2"/>
    </font>
    <font>
      <b/>
      <sz val="11"/>
      <color rgb="FFEE7F00"/>
      <name val="Arial"/>
      <family val="2"/>
    </font>
    <font>
      <b/>
      <sz val="11"/>
      <color rgb="FF0070C0"/>
      <name val="Arial"/>
      <family val="2"/>
    </font>
    <font>
      <b/>
      <u/>
      <sz val="11"/>
      <color rgb="FFE97132"/>
      <name val="Arial"/>
      <family val="2"/>
    </font>
    <font>
      <sz val="11"/>
      <color rgb="FFE97132"/>
      <name val="Arial"/>
      <family val="2"/>
    </font>
    <font>
      <b/>
      <sz val="11"/>
      <color rgb="FF005EA8"/>
      <name val="Arial"/>
      <family val="2"/>
    </font>
    <font>
      <sz val="14"/>
      <color theme="1"/>
      <name val="Calibri"/>
      <family val="2"/>
      <scheme val="minor"/>
    </font>
    <font>
      <sz val="11"/>
      <color rgb="FF000000"/>
      <name val="Wingdings"/>
      <charset val="2"/>
    </font>
    <font>
      <sz val="11"/>
      <color rgb="FF000000"/>
      <name val="Times New Roman"/>
      <family val="1"/>
    </font>
    <font>
      <u/>
      <sz val="11"/>
      <color rgb="FF000000"/>
      <name val="Arial"/>
      <family val="2"/>
    </font>
    <font>
      <b/>
      <sz val="11"/>
      <color rgb="FF0000FF"/>
      <name val="Arial"/>
      <family val="2"/>
    </font>
    <font>
      <b/>
      <sz val="11"/>
      <color rgb="FF000000"/>
      <name val="Calibri"/>
      <family val="2"/>
    </font>
    <font>
      <b/>
      <vertAlign val="subscript"/>
      <sz val="11"/>
      <color rgb="FF000000"/>
      <name val="Calibri"/>
      <family val="2"/>
    </font>
    <font>
      <b/>
      <sz val="11"/>
      <color rgb="FFFF0000"/>
      <name val="Arial"/>
      <family val="2"/>
    </font>
    <font>
      <b/>
      <i/>
      <sz val="11"/>
      <color rgb="FF000000"/>
      <name val="Arial"/>
      <family val="2"/>
    </font>
    <font>
      <vertAlign val="subscript"/>
      <sz val="11"/>
      <color rgb="FF000000"/>
      <name val="Arial"/>
      <family val="2"/>
    </font>
    <font>
      <b/>
      <sz val="10"/>
      <color rgb="FF005EA8"/>
      <name val="Arial"/>
      <family val="2"/>
    </font>
    <font>
      <sz val="10"/>
      <color rgb="FF000000"/>
      <name val="Arial"/>
      <family val="2"/>
    </font>
    <font>
      <sz val="7"/>
      <color rgb="FF000000"/>
      <name val="Times New Roman"/>
      <family val="1"/>
    </font>
    <font>
      <b/>
      <sz val="12"/>
      <color rgb="FF000000"/>
      <name val="Arial"/>
      <family val="2"/>
    </font>
    <font>
      <vertAlign val="subscript"/>
      <sz val="12"/>
      <color rgb="FF000000"/>
      <name val="Arial"/>
      <family val="2"/>
    </font>
    <font>
      <sz val="12"/>
      <color rgb="FF000000"/>
      <name val="Segoe UI Symbol"/>
      <family val="2"/>
    </font>
    <font>
      <sz val="12"/>
      <color theme="1"/>
      <name val="Arial"/>
      <family val="2"/>
    </font>
    <font>
      <vertAlign val="superscript"/>
      <sz val="12"/>
      <color rgb="FF000000"/>
      <name val="Arial"/>
      <family val="2"/>
    </font>
    <font>
      <b/>
      <sz val="18"/>
      <name val="Cambria"/>
      <family val="1"/>
    </font>
    <font>
      <sz val="14"/>
      <name val="Cambria"/>
      <family val="1"/>
    </font>
    <font>
      <sz val="14"/>
      <name val="Wingdings"/>
      <charset val="2"/>
    </font>
    <font>
      <b/>
      <sz val="14"/>
      <name val="Calibri Light"/>
      <family val="1"/>
      <scheme val="major"/>
    </font>
    <font>
      <sz val="14"/>
      <name val="Calibri Light"/>
      <family val="1"/>
      <scheme val="major"/>
    </font>
    <font>
      <b/>
      <sz val="10"/>
      <name val="Calibri Light"/>
      <family val="1"/>
      <scheme val="major"/>
    </font>
    <font>
      <sz val="12"/>
      <name val="Arial"/>
      <family val="2"/>
    </font>
    <font>
      <b/>
      <u/>
      <sz val="14"/>
      <name val="Cambria"/>
      <family val="1"/>
    </font>
    <font>
      <b/>
      <sz val="11"/>
      <name val="Calibri"/>
      <family val="2"/>
    </font>
    <font>
      <sz val="11"/>
      <name val="Calibri"/>
      <family val="2"/>
    </font>
    <font>
      <sz val="11"/>
      <name val="Calibri"/>
      <family val="2"/>
      <scheme val="minor"/>
    </font>
    <font>
      <b/>
      <sz val="11"/>
      <name val="Calibri"/>
      <family val="2"/>
      <scheme val="minor"/>
    </font>
    <font>
      <b/>
      <sz val="9"/>
      <color rgb="FFFF0000"/>
      <name val="Arial"/>
      <family val="2"/>
    </font>
    <font>
      <b/>
      <sz val="11"/>
      <color theme="1"/>
      <name val="Calibri"/>
      <family val="2"/>
      <scheme val="minor"/>
    </font>
    <font>
      <b/>
      <u/>
      <sz val="11"/>
      <color theme="1"/>
      <name val="Calibri"/>
      <family val="2"/>
      <scheme val="minor"/>
    </font>
    <font>
      <b/>
      <sz val="11"/>
      <color theme="5"/>
      <name val="Calibri"/>
      <family val="2"/>
      <scheme val="minor"/>
    </font>
    <font>
      <b/>
      <sz val="11"/>
      <color rgb="FF00B050"/>
      <name val="Calibri"/>
      <family val="2"/>
      <scheme val="minor"/>
    </font>
    <font>
      <b/>
      <sz val="11"/>
      <color rgb="FF0070C0"/>
      <name val="Calibri"/>
      <family val="2"/>
      <scheme val="minor"/>
    </font>
    <font>
      <sz val="11"/>
      <color rgb="FF0070C0"/>
      <name val="Calibri"/>
      <family val="2"/>
      <scheme val="minor"/>
    </font>
    <font>
      <b/>
      <sz val="18"/>
      <color rgb="FF1F3A5F"/>
      <name val="Arial"/>
      <family val="2"/>
    </font>
    <font>
      <i/>
      <sz val="10"/>
      <color rgb="FF56636E"/>
      <name val="Arial"/>
      <family val="2"/>
    </font>
    <font>
      <b/>
      <sz val="12"/>
      <color rgb="FFFFFFFF"/>
      <name val="Arial"/>
      <family val="2"/>
    </font>
    <font>
      <b/>
      <sz val="10"/>
      <color rgb="FF15202A"/>
      <name val="Arial"/>
      <family val="2"/>
    </font>
    <font>
      <sz val="10"/>
      <color rgb="FF15202A"/>
      <name val="Arial"/>
      <family val="2"/>
    </font>
    <font>
      <u/>
      <sz val="10"/>
      <color rgb="FF0563C1"/>
      <name val="Arial"/>
      <family val="2"/>
    </font>
    <font>
      <b/>
      <u/>
      <sz val="11"/>
      <color rgb="FF0563C1"/>
      <name val="Arial"/>
      <family val="2"/>
    </font>
  </fonts>
  <fills count="2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indexed="41"/>
        <bgColor indexed="64"/>
      </patternFill>
    </fill>
    <fill>
      <patternFill patternType="solid">
        <fgColor rgb="FFCCFF99"/>
        <bgColor indexed="64"/>
      </patternFill>
    </fill>
    <fill>
      <patternFill patternType="solid">
        <fgColor rgb="FFFFFF99"/>
        <bgColor rgb="FF000000"/>
      </patternFill>
    </fill>
    <fill>
      <patternFill patternType="solid">
        <fgColor rgb="FFCCFFFF"/>
        <bgColor rgb="FF000000"/>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rgb="FFCCFF99"/>
        <bgColor rgb="FF000000"/>
      </patternFill>
    </fill>
    <fill>
      <patternFill patternType="solid">
        <fgColor rgb="FF66FFFF"/>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59999389629810485"/>
        <bgColor rgb="FF000000"/>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C4501A"/>
        <bgColor indexed="64"/>
      </patternFill>
    </fill>
    <fill>
      <patternFill patternType="solid">
        <fgColor rgb="FFF3F5F4"/>
        <bgColor indexed="64"/>
      </patternFill>
    </fill>
    <fill>
      <patternFill patternType="solid">
        <fgColor rgb="FFFFFF99"/>
        <bgColor indexed="64"/>
      </patternFill>
    </fill>
  </fills>
  <borders count="70">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ck">
        <color auto="1"/>
      </left>
      <right style="thin">
        <color auto="1"/>
      </right>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diagonal/>
    </border>
  </borders>
  <cellStyleXfs count="3">
    <xf numFmtId="0" fontId="0" fillId="0" borderId="0"/>
    <xf numFmtId="0" fontId="4" fillId="0" borderId="0"/>
    <xf numFmtId="0" fontId="17" fillId="0" borderId="0" applyNumberFormat="0" applyFill="0" applyBorder="0" applyAlignment="0" applyProtection="0">
      <alignment vertical="top"/>
      <protection locked="0"/>
    </xf>
  </cellStyleXfs>
  <cellXfs count="445">
    <xf numFmtId="0" fontId="0" fillId="0" borderId="0" xfId="0"/>
    <xf numFmtId="0" fontId="0" fillId="0" borderId="0" xfId="0" applyAlignment="1">
      <alignment vertical="center"/>
    </xf>
    <xf numFmtId="0" fontId="0" fillId="2" borderId="0" xfId="0" applyFill="1"/>
    <xf numFmtId="0" fontId="0" fillId="3" borderId="0" xfId="0" applyFill="1"/>
    <xf numFmtId="0" fontId="2" fillId="0" borderId="0" xfId="0" applyFont="1"/>
    <xf numFmtId="0" fontId="3" fillId="0" borderId="11" xfId="0" applyFont="1" applyBorder="1" applyProtection="1">
      <protection locked="0"/>
    </xf>
    <xf numFmtId="0" fontId="3" fillId="0" borderId="13" xfId="0" applyFont="1" applyBorder="1" applyProtection="1">
      <protection locked="0"/>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2" fillId="0" borderId="17" xfId="0" applyFont="1" applyBorder="1"/>
    <xf numFmtId="0" fontId="1" fillId="0" borderId="15" xfId="0" applyFont="1" applyBorder="1"/>
    <xf numFmtId="0" fontId="0" fillId="0" borderId="18" xfId="0" applyBorder="1"/>
    <xf numFmtId="0" fontId="0" fillId="0" borderId="14" xfId="0" applyBorder="1"/>
    <xf numFmtId="0" fontId="2" fillId="0" borderId="10" xfId="0" applyFont="1" applyBorder="1"/>
    <xf numFmtId="0" fontId="2" fillId="0" borderId="5" xfId="0" applyFont="1" applyBorder="1"/>
    <xf numFmtId="0" fontId="0" fillId="0" borderId="17" xfId="0" applyBorder="1"/>
    <xf numFmtId="0" fontId="3" fillId="0" borderId="0" xfId="0" applyFont="1"/>
    <xf numFmtId="0" fontId="3" fillId="0" borderId="18" xfId="0" applyFont="1" applyBorder="1"/>
    <xf numFmtId="0" fontId="3" fillId="0" borderId="14" xfId="0" applyFont="1" applyBorder="1"/>
    <xf numFmtId="0" fontId="3" fillId="0" borderId="16" xfId="0" applyFont="1" applyBorder="1"/>
    <xf numFmtId="0" fontId="0" fillId="0" borderId="16" xfId="0" applyBorder="1"/>
    <xf numFmtId="0" fontId="3" fillId="0" borderId="12" xfId="0" applyFont="1" applyBorder="1"/>
    <xf numFmtId="0" fontId="0" fillId="0" borderId="6" xfId="0" applyBorder="1"/>
    <xf numFmtId="0" fontId="0" fillId="0" borderId="7" xfId="0" applyBorder="1"/>
    <xf numFmtId="0" fontId="0" fillId="0" borderId="7" xfId="0" applyBorder="1" applyAlignment="1">
      <alignment horizontal="right"/>
    </xf>
    <xf numFmtId="0" fontId="0" fillId="0" borderId="8" xfId="0" applyBorder="1"/>
    <xf numFmtId="0" fontId="4" fillId="0" borderId="0" xfId="1"/>
    <xf numFmtId="0" fontId="4" fillId="0" borderId="0" xfId="1" applyAlignment="1">
      <alignment vertical="top"/>
    </xf>
    <xf numFmtId="0" fontId="4" fillId="0" borderId="14" xfId="1" applyBorder="1"/>
    <xf numFmtId="0" fontId="5" fillId="0" borderId="0" xfId="1" applyFont="1" applyAlignment="1">
      <alignment vertical="top" wrapText="1"/>
    </xf>
    <xf numFmtId="0" fontId="7" fillId="0" borderId="0" xfId="1" applyFont="1" applyAlignment="1">
      <alignment vertical="top"/>
    </xf>
    <xf numFmtId="0" fontId="8" fillId="0" borderId="0" xfId="1" applyFont="1" applyAlignment="1">
      <alignment vertical="top" wrapText="1"/>
    </xf>
    <xf numFmtId="0" fontId="8" fillId="0" borderId="0" xfId="1" quotePrefix="1" applyFont="1" applyAlignment="1">
      <alignment vertical="top" wrapText="1"/>
    </xf>
    <xf numFmtId="0" fontId="9" fillId="0" borderId="0" xfId="1" applyFont="1" applyAlignment="1">
      <alignment vertical="top" wrapText="1"/>
    </xf>
    <xf numFmtId="0" fontId="7" fillId="0" borderId="0" xfId="1" applyFont="1" applyAlignment="1">
      <alignment horizontal="center" vertical="top"/>
    </xf>
    <xf numFmtId="1" fontId="10" fillId="0" borderId="0" xfId="1" applyNumberFormat="1" applyFont="1" applyAlignment="1">
      <alignment horizontal="center" vertical="center" wrapText="1"/>
    </xf>
    <xf numFmtId="0" fontId="4" fillId="0" borderId="0" xfId="1" applyAlignment="1">
      <alignment horizontal="center" wrapText="1"/>
    </xf>
    <xf numFmtId="0" fontId="10" fillId="0" borderId="0" xfId="1" applyFont="1" applyAlignment="1">
      <alignment horizontal="center" wrapText="1"/>
    </xf>
    <xf numFmtId="0" fontId="4" fillId="0" borderId="22" xfId="1" applyBorder="1"/>
    <xf numFmtId="1" fontId="10" fillId="4" borderId="23" xfId="1" applyNumberFormat="1" applyFont="1" applyFill="1" applyBorder="1" applyAlignment="1">
      <alignment horizontal="center" vertical="center" wrapText="1"/>
    </xf>
    <xf numFmtId="0" fontId="4" fillId="0" borderId="24" xfId="1" applyBorder="1" applyAlignment="1">
      <alignment horizontal="center" wrapText="1"/>
    </xf>
    <xf numFmtId="0" fontId="4" fillId="0" borderId="25" xfId="1" applyBorder="1" applyAlignment="1">
      <alignment horizontal="center" wrapText="1"/>
    </xf>
    <xf numFmtId="0" fontId="4" fillId="0" borderId="26" xfId="1" applyBorder="1" applyAlignment="1">
      <alignment horizontal="center" wrapText="1"/>
    </xf>
    <xf numFmtId="9" fontId="11" fillId="4" borderId="28" xfId="1" applyNumberFormat="1" applyFont="1" applyFill="1" applyBorder="1" applyAlignment="1">
      <alignment horizontal="center" wrapText="1"/>
    </xf>
    <xf numFmtId="4" fontId="10" fillId="4" borderId="29" xfId="1" applyNumberFormat="1" applyFont="1" applyFill="1" applyBorder="1" applyAlignment="1">
      <alignment horizontal="center" wrapText="1"/>
    </xf>
    <xf numFmtId="4" fontId="10" fillId="5" borderId="29" xfId="1" applyNumberFormat="1" applyFont="1" applyFill="1" applyBorder="1" applyAlignment="1">
      <alignment horizontal="center" wrapText="1"/>
    </xf>
    <xf numFmtId="9" fontId="10" fillId="0" borderId="29" xfId="1" applyNumberFormat="1" applyFont="1" applyBorder="1" applyAlignment="1">
      <alignment horizontal="center" wrapText="1"/>
    </xf>
    <xf numFmtId="9" fontId="11" fillId="4" borderId="29" xfId="1" applyNumberFormat="1" applyFont="1" applyFill="1" applyBorder="1" applyAlignment="1">
      <alignment horizontal="center" wrapText="1"/>
    </xf>
    <xf numFmtId="0" fontId="10" fillId="4" borderId="29" xfId="1" applyFont="1" applyFill="1" applyBorder="1" applyAlignment="1">
      <alignment horizontal="center" wrapText="1"/>
    </xf>
    <xf numFmtId="0" fontId="10" fillId="5" borderId="29" xfId="1" applyFont="1" applyFill="1" applyBorder="1" applyAlignment="1">
      <alignment horizontal="center" wrapText="1"/>
    </xf>
    <xf numFmtId="0" fontId="10" fillId="3" borderId="29" xfId="1" applyFont="1" applyFill="1" applyBorder="1" applyAlignment="1">
      <alignment horizontal="center" wrapText="1"/>
    </xf>
    <xf numFmtId="0" fontId="10" fillId="0" borderId="29" xfId="1" applyFont="1" applyBorder="1" applyAlignment="1">
      <alignment horizontal="center" wrapText="1"/>
    </xf>
    <xf numFmtId="0" fontId="10" fillId="0" borderId="30" xfId="1" applyFont="1" applyBorder="1" applyAlignment="1">
      <alignment horizontal="center" vertical="top" wrapText="1"/>
    </xf>
    <xf numFmtId="9" fontId="11" fillId="4" borderId="31" xfId="1" applyNumberFormat="1" applyFont="1" applyFill="1" applyBorder="1" applyAlignment="1">
      <alignment horizontal="center" wrapText="1"/>
    </xf>
    <xf numFmtId="3" fontId="11" fillId="5" borderId="32" xfId="1" applyNumberFormat="1" applyFont="1" applyFill="1" applyBorder="1" applyAlignment="1">
      <alignment horizontal="center" wrapText="1"/>
    </xf>
    <xf numFmtId="3" fontId="11" fillId="6" borderId="32" xfId="1" applyNumberFormat="1" applyFont="1" applyFill="1" applyBorder="1" applyAlignment="1">
      <alignment horizontal="center" wrapText="1"/>
    </xf>
    <xf numFmtId="3" fontId="11" fillId="7" borderId="32" xfId="1" applyNumberFormat="1" applyFont="1" applyFill="1" applyBorder="1" applyAlignment="1">
      <alignment horizontal="center" wrapText="1"/>
    </xf>
    <xf numFmtId="3" fontId="12" fillId="8" borderId="32" xfId="1" applyNumberFormat="1" applyFont="1" applyFill="1" applyBorder="1" applyAlignment="1">
      <alignment horizontal="center" wrapText="1"/>
    </xf>
    <xf numFmtId="9" fontId="11" fillId="4" borderId="32" xfId="1" applyNumberFormat="1" applyFont="1" applyFill="1" applyBorder="1" applyAlignment="1">
      <alignment horizontal="center" wrapText="1"/>
    </xf>
    <xf numFmtId="0" fontId="11" fillId="5" borderId="32" xfId="1" applyFont="1" applyFill="1" applyBorder="1" applyAlignment="1">
      <alignment horizontal="center" vertical="top" wrapText="1"/>
    </xf>
    <xf numFmtId="0" fontId="11" fillId="9" borderId="32" xfId="1" applyFont="1" applyFill="1" applyBorder="1" applyAlignment="1">
      <alignment horizontal="center" wrapText="1"/>
    </xf>
    <xf numFmtId="4" fontId="12" fillId="8" borderId="32" xfId="1" applyNumberFormat="1" applyFont="1" applyFill="1" applyBorder="1" applyAlignment="1">
      <alignment horizontal="center" wrapText="1"/>
    </xf>
    <xf numFmtId="14" fontId="11" fillId="8" borderId="32" xfId="1" applyNumberFormat="1" applyFont="1" applyFill="1" applyBorder="1" applyAlignment="1">
      <alignment horizontal="center" wrapText="1"/>
    </xf>
    <xf numFmtId="9" fontId="11" fillId="4" borderId="34" xfId="1" applyNumberFormat="1" applyFont="1" applyFill="1" applyBorder="1" applyAlignment="1">
      <alignment horizontal="center" wrapText="1"/>
    </xf>
    <xf numFmtId="3" fontId="11" fillId="5" borderId="35" xfId="1" applyNumberFormat="1" applyFont="1" applyFill="1" applyBorder="1" applyAlignment="1">
      <alignment horizontal="center" wrapText="1"/>
    </xf>
    <xf numFmtId="3" fontId="11" fillId="6" borderId="35" xfId="1" applyNumberFormat="1" applyFont="1" applyFill="1" applyBorder="1" applyAlignment="1">
      <alignment horizontal="center" wrapText="1"/>
    </xf>
    <xf numFmtId="3" fontId="11" fillId="7" borderId="35" xfId="1" applyNumberFormat="1" applyFont="1" applyFill="1" applyBorder="1" applyAlignment="1">
      <alignment horizontal="center" wrapText="1"/>
    </xf>
    <xf numFmtId="3" fontId="12" fillId="8" borderId="35" xfId="1" applyNumberFormat="1" applyFont="1" applyFill="1" applyBorder="1" applyAlignment="1">
      <alignment horizontal="center" wrapText="1"/>
    </xf>
    <xf numFmtId="9" fontId="11" fillId="4" borderId="35" xfId="1" applyNumberFormat="1" applyFont="1" applyFill="1" applyBorder="1" applyAlignment="1">
      <alignment horizontal="center" wrapText="1"/>
    </xf>
    <xf numFmtId="0" fontId="11" fillId="5" borderId="35" xfId="1" applyFont="1" applyFill="1" applyBorder="1" applyAlignment="1">
      <alignment horizontal="center" vertical="top" wrapText="1"/>
    </xf>
    <xf numFmtId="0" fontId="11" fillId="9" borderId="35" xfId="1" applyFont="1" applyFill="1" applyBorder="1" applyAlignment="1">
      <alignment horizontal="center" wrapText="1"/>
    </xf>
    <xf numFmtId="4" fontId="12" fillId="8" borderId="35" xfId="1" applyNumberFormat="1" applyFont="1" applyFill="1" applyBorder="1" applyAlignment="1">
      <alignment horizontal="center" wrapText="1"/>
    </xf>
    <xf numFmtId="14" fontId="11" fillId="8" borderId="35" xfId="1" applyNumberFormat="1" applyFont="1" applyFill="1" applyBorder="1" applyAlignment="1">
      <alignment horizontal="center" wrapText="1"/>
    </xf>
    <xf numFmtId="0" fontId="12" fillId="8" borderId="35" xfId="1" applyFont="1" applyFill="1" applyBorder="1" applyAlignment="1">
      <alignment horizontal="center" wrapText="1"/>
    </xf>
    <xf numFmtId="0" fontId="4" fillId="0" borderId="37" xfId="1" applyBorder="1"/>
    <xf numFmtId="0" fontId="4" fillId="0" borderId="38" xfId="1" applyBorder="1"/>
    <xf numFmtId="0" fontId="13" fillId="0" borderId="38" xfId="1" applyFont="1" applyBorder="1" applyAlignment="1">
      <alignment horizontal="center" vertical="center" wrapText="1"/>
    </xf>
    <xf numFmtId="14" fontId="11" fillId="8" borderId="38" xfId="1" applyNumberFormat="1" applyFont="1" applyFill="1" applyBorder="1" applyAlignment="1">
      <alignment horizontal="center" wrapText="1"/>
    </xf>
    <xf numFmtId="0" fontId="13" fillId="0" borderId="39" xfId="1" applyFont="1" applyBorder="1" applyAlignment="1">
      <alignment horizontal="left" vertical="center" wrapText="1"/>
    </xf>
    <xf numFmtId="0" fontId="13" fillId="0" borderId="40"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42" xfId="1" applyFont="1" applyBorder="1" applyAlignment="1">
      <alignment horizontal="center" vertical="center" wrapText="1"/>
    </xf>
    <xf numFmtId="0" fontId="14" fillId="0" borderId="41" xfId="1" applyFont="1" applyBorder="1" applyAlignment="1">
      <alignment horizontal="center" vertical="center" wrapText="1"/>
    </xf>
    <xf numFmtId="0" fontId="13" fillId="0" borderId="43" xfId="1" applyFont="1" applyBorder="1" applyAlignment="1">
      <alignment horizontal="center" vertical="center" wrapText="1"/>
    </xf>
    <xf numFmtId="0" fontId="13" fillId="0" borderId="44" xfId="1" applyFont="1" applyBorder="1" applyAlignment="1">
      <alignment horizontal="center" vertical="center" wrapText="1"/>
    </xf>
    <xf numFmtId="0" fontId="13" fillId="0" borderId="45" xfId="1" applyFont="1" applyBorder="1" applyAlignment="1">
      <alignment horizontal="center" vertical="center" wrapText="1"/>
    </xf>
    <xf numFmtId="0" fontId="13" fillId="0" borderId="46" xfId="1" applyFont="1" applyBorder="1" applyAlignment="1">
      <alignment horizontal="center" vertical="center" wrapText="1"/>
    </xf>
    <xf numFmtId="0" fontId="13" fillId="0" borderId="47" xfId="1" applyFont="1" applyBorder="1" applyAlignment="1">
      <alignment horizontal="center" vertical="center" wrapText="1"/>
    </xf>
    <xf numFmtId="0" fontId="4" fillId="0" borderId="0" xfId="1" applyAlignment="1">
      <alignment horizontal="center" vertical="center"/>
    </xf>
    <xf numFmtId="0" fontId="15" fillId="0" borderId="0" xfId="1" applyFont="1" applyAlignment="1">
      <alignment horizontal="center" vertical="center" wrapText="1"/>
    </xf>
    <xf numFmtId="0" fontId="15" fillId="0" borderId="48" xfId="1" applyFont="1" applyBorder="1" applyAlignment="1">
      <alignment horizontal="center" vertical="center" wrapText="1"/>
    </xf>
    <xf numFmtId="0" fontId="15" fillId="0" borderId="49" xfId="1" applyFont="1" applyBorder="1" applyAlignment="1">
      <alignment horizontal="center" vertical="center" wrapText="1"/>
    </xf>
    <xf numFmtId="0" fontId="16" fillId="0" borderId="0" xfId="1" applyFont="1"/>
    <xf numFmtId="0" fontId="16" fillId="0" borderId="0" xfId="1" applyFont="1" applyAlignment="1">
      <alignment vertical="top"/>
    </xf>
    <xf numFmtId="0" fontId="17" fillId="0" borderId="14" xfId="2" applyBorder="1" applyAlignment="1" applyProtection="1"/>
    <xf numFmtId="0" fontId="4" fillId="0" borderId="42" xfId="1" applyBorder="1"/>
    <xf numFmtId="0" fontId="18" fillId="0" borderId="43" xfId="1" applyFont="1" applyBorder="1" applyAlignment="1">
      <alignment vertical="top"/>
    </xf>
    <xf numFmtId="0" fontId="19" fillId="0" borderId="0" xfId="1" applyFont="1" applyAlignment="1">
      <alignment vertical="top"/>
    </xf>
    <xf numFmtId="0" fontId="11" fillId="10" borderId="0" xfId="1" applyFont="1" applyFill="1" applyAlignment="1">
      <alignment horizontal="center" wrapText="1"/>
    </xf>
    <xf numFmtId="0" fontId="4" fillId="12" borderId="0" xfId="1" applyFill="1" applyAlignment="1">
      <alignment horizontal="left"/>
    </xf>
    <xf numFmtId="0" fontId="4" fillId="12" borderId="0" xfId="1" applyFill="1" applyAlignment="1">
      <alignment horizontal="center"/>
    </xf>
    <xf numFmtId="0" fontId="4" fillId="12" borderId="11" xfId="1" applyFill="1" applyBorder="1" applyAlignment="1">
      <alignment horizontal="center"/>
    </xf>
    <xf numFmtId="0" fontId="16" fillId="0" borderId="19" xfId="1" applyFont="1" applyBorder="1"/>
    <xf numFmtId="0" fontId="4" fillId="12" borderId="12" xfId="1" applyFill="1" applyBorder="1" applyAlignment="1">
      <alignment horizontal="center"/>
    </xf>
    <xf numFmtId="0" fontId="4" fillId="12" borderId="13" xfId="1" applyFill="1" applyBorder="1" applyAlignment="1">
      <alignment horizontal="center"/>
    </xf>
    <xf numFmtId="0" fontId="16" fillId="0" borderId="10" xfId="1" applyFont="1" applyBorder="1"/>
    <xf numFmtId="0" fontId="15" fillId="0" borderId="0" xfId="1" applyFont="1" applyAlignment="1">
      <alignment horizontal="center" vertical="center"/>
    </xf>
    <xf numFmtId="0" fontId="4" fillId="0" borderId="0" xfId="1" applyAlignment="1">
      <alignment horizontal="center"/>
    </xf>
    <xf numFmtId="0" fontId="13" fillId="0" borderId="56" xfId="1" applyFont="1" applyBorder="1" applyAlignment="1">
      <alignment horizontal="center" vertical="center" wrapText="1"/>
    </xf>
    <xf numFmtId="0" fontId="13" fillId="0" borderId="33" xfId="1" applyFont="1" applyBorder="1" applyAlignment="1">
      <alignment horizontal="center" vertical="center" wrapText="1"/>
    </xf>
    <xf numFmtId="0" fontId="13" fillId="0" borderId="32" xfId="1" applyFont="1" applyBorder="1" applyAlignment="1">
      <alignment horizontal="center" vertical="center" wrapText="1"/>
    </xf>
    <xf numFmtId="0" fontId="14" fillId="0" borderId="32"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31" xfId="1" applyFont="1" applyBorder="1" applyAlignment="1">
      <alignment horizontal="center" vertical="center" wrapText="1"/>
    </xf>
    <xf numFmtId="0" fontId="13" fillId="0" borderId="47" xfId="1" applyFont="1" applyBorder="1" applyAlignment="1">
      <alignment horizontal="left" vertical="center" wrapText="1"/>
    </xf>
    <xf numFmtId="14" fontId="11" fillId="8" borderId="45" xfId="1" applyNumberFormat="1" applyFont="1" applyFill="1" applyBorder="1" applyAlignment="1">
      <alignment horizontal="center" wrapText="1"/>
    </xf>
    <xf numFmtId="0" fontId="12" fillId="8" borderId="45" xfId="1" applyFont="1" applyFill="1" applyBorder="1" applyAlignment="1">
      <alignment horizontal="center" wrapText="1"/>
    </xf>
    <xf numFmtId="0" fontId="4" fillId="0" borderId="45" xfId="1" applyBorder="1"/>
    <xf numFmtId="0" fontId="11" fillId="8" borderId="45" xfId="1" applyFont="1" applyFill="1" applyBorder="1" applyAlignment="1">
      <alignment horizontal="center" wrapText="1"/>
    </xf>
    <xf numFmtId="0" fontId="11" fillId="7" borderId="45" xfId="1" applyFont="1" applyFill="1" applyBorder="1" applyAlignment="1">
      <alignment horizontal="center" wrapText="1"/>
    </xf>
    <xf numFmtId="0" fontId="4" fillId="0" borderId="44" xfId="1" applyBorder="1"/>
    <xf numFmtId="9" fontId="11" fillId="5" borderId="35" xfId="1" applyNumberFormat="1" applyFont="1" applyFill="1" applyBorder="1" applyAlignment="1">
      <alignment horizontal="center" wrapText="1"/>
    </xf>
    <xf numFmtId="3" fontId="11" fillId="8" borderId="35" xfId="1" applyNumberFormat="1" applyFont="1" applyFill="1" applyBorder="1" applyAlignment="1">
      <alignment horizontal="center" wrapText="1"/>
    </xf>
    <xf numFmtId="0" fontId="11" fillId="8" borderId="35" xfId="1" applyFont="1" applyFill="1" applyBorder="1" applyAlignment="1">
      <alignment horizontal="center" wrapText="1"/>
    </xf>
    <xf numFmtId="14" fontId="11" fillId="8" borderId="41" xfId="1" applyNumberFormat="1" applyFont="1" applyFill="1" applyBorder="1" applyAlignment="1">
      <alignment horizontal="center" wrapText="1"/>
    </xf>
    <xf numFmtId="4" fontId="12" fillId="8" borderId="41" xfId="1" applyNumberFormat="1" applyFont="1" applyFill="1" applyBorder="1" applyAlignment="1">
      <alignment horizontal="center" wrapText="1"/>
    </xf>
    <xf numFmtId="0" fontId="11" fillId="5" borderId="41" xfId="1" applyFont="1" applyFill="1" applyBorder="1" applyAlignment="1">
      <alignment horizontal="center" vertical="top" wrapText="1"/>
    </xf>
    <xf numFmtId="0" fontId="11" fillId="8" borderId="41" xfId="1" applyFont="1" applyFill="1" applyBorder="1" applyAlignment="1">
      <alignment horizontal="center" wrapText="1"/>
    </xf>
    <xf numFmtId="3" fontId="11" fillId="7" borderId="41" xfId="1" applyNumberFormat="1" applyFont="1" applyFill="1" applyBorder="1" applyAlignment="1">
      <alignment horizontal="center" wrapText="1"/>
    </xf>
    <xf numFmtId="3" fontId="11" fillId="5" borderId="41" xfId="1" applyNumberFormat="1" applyFont="1" applyFill="1" applyBorder="1" applyAlignment="1">
      <alignment horizontal="center" wrapText="1"/>
    </xf>
    <xf numFmtId="9" fontId="11" fillId="4" borderId="40" xfId="1" applyNumberFormat="1" applyFont="1" applyFill="1" applyBorder="1" applyAlignment="1">
      <alignment horizontal="center" wrapText="1"/>
    </xf>
    <xf numFmtId="0" fontId="10" fillId="0" borderId="27" xfId="1" applyFont="1" applyBorder="1" applyAlignment="1">
      <alignment horizontal="center" vertical="top" wrapText="1"/>
    </xf>
    <xf numFmtId="0" fontId="10" fillId="0" borderId="26" xfId="1" applyFont="1" applyBorder="1" applyAlignment="1">
      <alignment horizontal="center" wrapText="1"/>
    </xf>
    <xf numFmtId="0" fontId="21" fillId="3" borderId="26" xfId="1" applyFont="1" applyFill="1" applyBorder="1" applyAlignment="1">
      <alignment horizontal="center" wrapText="1"/>
    </xf>
    <xf numFmtId="3" fontId="10" fillId="5" borderId="26" xfId="1" applyNumberFormat="1" applyFont="1" applyFill="1" applyBorder="1" applyAlignment="1">
      <alignment horizontal="center" wrapText="1"/>
    </xf>
    <xf numFmtId="9" fontId="10" fillId="0" borderId="26" xfId="1" applyNumberFormat="1" applyFont="1" applyBorder="1" applyAlignment="1">
      <alignment horizontal="center" wrapText="1"/>
    </xf>
    <xf numFmtId="9" fontId="11" fillId="4" borderId="57" xfId="1" applyNumberFormat="1" applyFont="1" applyFill="1" applyBorder="1" applyAlignment="1">
      <alignment horizontal="center" wrapText="1"/>
    </xf>
    <xf numFmtId="0" fontId="4" fillId="0" borderId="58" xfId="1" applyBorder="1"/>
    <xf numFmtId="0" fontId="4" fillId="0" borderId="57" xfId="1" applyBorder="1"/>
    <xf numFmtId="0" fontId="22" fillId="0" borderId="0" xfId="1" applyFont="1"/>
    <xf numFmtId="0" fontId="16" fillId="0" borderId="0" xfId="1" applyFont="1" applyAlignment="1">
      <alignment horizontal="center" vertical="top" wrapText="1"/>
    </xf>
    <xf numFmtId="0" fontId="24" fillId="3" borderId="0" xfId="1" applyFont="1" applyFill="1"/>
    <xf numFmtId="0" fontId="16" fillId="0" borderId="59" xfId="1" applyFont="1" applyBorder="1"/>
    <xf numFmtId="0" fontId="17" fillId="0" borderId="0" xfId="2" applyBorder="1" applyAlignment="1" applyProtection="1"/>
    <xf numFmtId="0" fontId="15" fillId="0" borderId="0" xfId="1" applyFont="1" applyAlignment="1">
      <alignment vertical="center"/>
    </xf>
    <xf numFmtId="0" fontId="13" fillId="0" borderId="39" xfId="1" applyFont="1" applyBorder="1" applyAlignment="1">
      <alignment horizontal="center" vertical="center" wrapText="1"/>
    </xf>
    <xf numFmtId="0" fontId="13" fillId="0" borderId="63" xfId="1" applyFont="1" applyBorder="1" applyAlignment="1">
      <alignment horizontal="center" vertical="center" wrapText="1"/>
    </xf>
    <xf numFmtId="0" fontId="11" fillId="8" borderId="38" xfId="1" applyFont="1" applyFill="1" applyBorder="1" applyAlignment="1">
      <alignment horizontal="center" wrapText="1"/>
    </xf>
    <xf numFmtId="0" fontId="11" fillId="13" borderId="38" xfId="1" applyFont="1" applyFill="1" applyBorder="1" applyAlignment="1">
      <alignment horizontal="center" wrapText="1"/>
    </xf>
    <xf numFmtId="0" fontId="11" fillId="7" borderId="39" xfId="1" applyFont="1" applyFill="1" applyBorder="1" applyAlignment="1">
      <alignment horizontal="center" wrapText="1"/>
    </xf>
    <xf numFmtId="3" fontId="11" fillId="7" borderId="13" xfId="1" applyNumberFormat="1" applyFont="1" applyFill="1" applyBorder="1" applyAlignment="1">
      <alignment horizontal="center" wrapText="1"/>
    </xf>
    <xf numFmtId="3" fontId="11" fillId="7" borderId="38" xfId="1" applyNumberFormat="1" applyFont="1" applyFill="1" applyBorder="1" applyAlignment="1">
      <alignment horizontal="center" wrapText="1"/>
    </xf>
    <xf numFmtId="3" fontId="11" fillId="13" borderId="35" xfId="1" applyNumberFormat="1" applyFont="1" applyFill="1" applyBorder="1" applyAlignment="1">
      <alignment horizontal="center" wrapText="1"/>
    </xf>
    <xf numFmtId="3" fontId="11" fillId="7" borderId="36" xfId="1" applyNumberFormat="1" applyFont="1" applyFill="1" applyBorder="1" applyAlignment="1">
      <alignment horizontal="center" wrapText="1"/>
    </xf>
    <xf numFmtId="9" fontId="11" fillId="5" borderId="34" xfId="1" applyNumberFormat="1" applyFont="1" applyFill="1" applyBorder="1" applyAlignment="1">
      <alignment horizontal="center" wrapText="1"/>
    </xf>
    <xf numFmtId="3" fontId="11" fillId="7" borderId="19" xfId="1" applyNumberFormat="1" applyFont="1" applyFill="1" applyBorder="1" applyAlignment="1">
      <alignment horizontal="center" wrapText="1"/>
    </xf>
    <xf numFmtId="1" fontId="11" fillId="5" borderId="35" xfId="1" applyNumberFormat="1" applyFont="1" applyFill="1" applyBorder="1" applyAlignment="1">
      <alignment horizontal="center" wrapText="1"/>
    </xf>
    <xf numFmtId="4" fontId="11" fillId="8" borderId="35" xfId="1" applyNumberFormat="1" applyFont="1" applyFill="1" applyBorder="1" applyAlignment="1">
      <alignment horizontal="center" wrapText="1"/>
    </xf>
    <xf numFmtId="4" fontId="11" fillId="8" borderId="32" xfId="1" applyNumberFormat="1" applyFont="1" applyFill="1" applyBorder="1" applyAlignment="1">
      <alignment horizontal="center" wrapText="1"/>
    </xf>
    <xf numFmtId="9" fontId="11" fillId="5" borderId="32" xfId="1" applyNumberFormat="1" applyFont="1" applyFill="1" applyBorder="1" applyAlignment="1">
      <alignment horizontal="center" wrapText="1"/>
    </xf>
    <xf numFmtId="3" fontId="11" fillId="8" borderId="32" xfId="1" applyNumberFormat="1" applyFont="1" applyFill="1" applyBorder="1" applyAlignment="1">
      <alignment horizontal="center" wrapText="1"/>
    </xf>
    <xf numFmtId="3" fontId="11" fillId="13" borderId="32" xfId="1" applyNumberFormat="1" applyFont="1" applyFill="1" applyBorder="1" applyAlignment="1">
      <alignment horizontal="center" wrapText="1"/>
    </xf>
    <xf numFmtId="3" fontId="11" fillId="7" borderId="33" xfId="1" applyNumberFormat="1" applyFont="1" applyFill="1" applyBorder="1" applyAlignment="1">
      <alignment horizontal="center" wrapText="1"/>
    </xf>
    <xf numFmtId="3" fontId="11" fillId="7" borderId="10" xfId="1" applyNumberFormat="1" applyFont="1" applyFill="1" applyBorder="1" applyAlignment="1">
      <alignment horizontal="center" wrapText="1"/>
    </xf>
    <xf numFmtId="1" fontId="11" fillId="5" borderId="32" xfId="1" applyNumberFormat="1" applyFont="1" applyFill="1" applyBorder="1" applyAlignment="1">
      <alignment horizontal="center" wrapText="1"/>
    </xf>
    <xf numFmtId="0" fontId="21" fillId="3" borderId="29" xfId="1" applyFont="1" applyFill="1" applyBorder="1" applyAlignment="1">
      <alignment horizontal="center" wrapText="1"/>
    </xf>
    <xf numFmtId="3" fontId="11" fillId="5" borderId="29" xfId="1" applyNumberFormat="1" applyFont="1" applyFill="1" applyBorder="1" applyAlignment="1">
      <alignment horizontal="center" vertical="top" wrapText="1"/>
    </xf>
    <xf numFmtId="9" fontId="11" fillId="5" borderId="29" xfId="1" applyNumberFormat="1" applyFont="1" applyFill="1" applyBorder="1" applyAlignment="1">
      <alignment horizontal="center" wrapText="1"/>
    </xf>
    <xf numFmtId="9" fontId="10" fillId="0" borderId="64" xfId="1" applyNumberFormat="1" applyFont="1" applyBorder="1" applyAlignment="1">
      <alignment horizontal="center" wrapText="1"/>
    </xf>
    <xf numFmtId="9" fontId="10" fillId="0" borderId="30" xfId="1" applyNumberFormat="1" applyFont="1" applyBorder="1" applyAlignment="1">
      <alignment horizontal="center" wrapText="1"/>
    </xf>
    <xf numFmtId="1" fontId="10" fillId="4" borderId="29" xfId="1" applyNumberFormat="1" applyFont="1" applyFill="1" applyBorder="1" applyAlignment="1">
      <alignment horizontal="center" wrapText="1"/>
    </xf>
    <xf numFmtId="9" fontId="10" fillId="0" borderId="65" xfId="1" applyNumberFormat="1" applyFont="1" applyBorder="1" applyAlignment="1">
      <alignment horizontal="center" wrapText="1"/>
    </xf>
    <xf numFmtId="1" fontId="10" fillId="5" borderId="29" xfId="1" applyNumberFormat="1" applyFont="1" applyFill="1" applyBorder="1" applyAlignment="1">
      <alignment horizontal="center" wrapText="1"/>
    </xf>
    <xf numFmtId="1" fontId="11" fillId="5" borderId="29" xfId="1" applyNumberFormat="1" applyFont="1" applyFill="1" applyBorder="1" applyAlignment="1">
      <alignment horizontal="center" wrapText="1"/>
    </xf>
    <xf numFmtId="0" fontId="10" fillId="0" borderId="24" xfId="1" applyFont="1" applyBorder="1" applyAlignment="1">
      <alignment horizontal="center" wrapText="1"/>
    </xf>
    <xf numFmtId="0" fontId="4" fillId="0" borderId="27" xfId="1" applyBorder="1" applyAlignment="1">
      <alignment wrapText="1"/>
    </xf>
    <xf numFmtId="1" fontId="10" fillId="4" borderId="26" xfId="1" applyNumberFormat="1" applyFont="1" applyFill="1" applyBorder="1" applyAlignment="1">
      <alignment horizontal="center" vertical="center" wrapText="1"/>
    </xf>
    <xf numFmtId="0" fontId="4" fillId="0" borderId="26" xfId="1" applyBorder="1"/>
    <xf numFmtId="1" fontId="10" fillId="3" borderId="0" xfId="1" applyNumberFormat="1" applyFont="1" applyFill="1" applyAlignment="1">
      <alignment horizontal="center" vertical="center" wrapText="1"/>
    </xf>
    <xf numFmtId="0" fontId="11" fillId="11" borderId="50" xfId="1" applyFont="1" applyFill="1" applyBorder="1" applyAlignment="1">
      <alignment horizontal="left"/>
    </xf>
    <xf numFmtId="0" fontId="11" fillId="11" borderId="24" xfId="1" applyFont="1" applyFill="1" applyBorder="1" applyAlignment="1">
      <alignment horizontal="left"/>
    </xf>
    <xf numFmtId="0" fontId="11" fillId="11" borderId="22" xfId="1" applyFont="1" applyFill="1" applyBorder="1" applyAlignment="1">
      <alignment horizontal="left"/>
    </xf>
    <xf numFmtId="0" fontId="14" fillId="0" borderId="45" xfId="1" applyFont="1" applyBorder="1" applyAlignment="1">
      <alignment horizontal="center" vertical="center" wrapText="1"/>
    </xf>
    <xf numFmtId="164" fontId="11" fillId="10" borderId="38" xfId="1" applyNumberFormat="1" applyFont="1" applyFill="1" applyBorder="1" applyAlignment="1" applyProtection="1">
      <alignment horizontal="center" wrapText="1"/>
      <protection locked="0"/>
    </xf>
    <xf numFmtId="4" fontId="12" fillId="10" borderId="38" xfId="1" applyNumberFormat="1" applyFont="1" applyFill="1" applyBorder="1" applyAlignment="1" applyProtection="1">
      <alignment horizontal="center" wrapText="1"/>
      <protection locked="0"/>
    </xf>
    <xf numFmtId="3" fontId="12" fillId="10" borderId="38" xfId="1" applyNumberFormat="1" applyFont="1" applyFill="1" applyBorder="1" applyAlignment="1" applyProtection="1">
      <alignment horizontal="center" wrapText="1"/>
      <protection locked="0"/>
    </xf>
    <xf numFmtId="3" fontId="12" fillId="12" borderId="38" xfId="1" applyNumberFormat="1" applyFont="1" applyFill="1" applyBorder="1" applyAlignment="1" applyProtection="1">
      <alignment horizontal="center" wrapText="1"/>
      <protection locked="0"/>
    </xf>
    <xf numFmtId="3" fontId="11" fillId="7" borderId="38" xfId="1" applyNumberFormat="1" applyFont="1" applyFill="1" applyBorder="1" applyAlignment="1" applyProtection="1">
      <alignment horizontal="center" wrapText="1"/>
      <protection locked="0"/>
    </xf>
    <xf numFmtId="164" fontId="11" fillId="10" borderId="35" xfId="1" applyNumberFormat="1" applyFont="1" applyFill="1" applyBorder="1" applyAlignment="1" applyProtection="1">
      <alignment horizontal="center" wrapText="1"/>
      <protection locked="0"/>
    </xf>
    <xf numFmtId="4" fontId="12" fillId="10" borderId="35" xfId="1" applyNumberFormat="1" applyFont="1" applyFill="1" applyBorder="1" applyAlignment="1" applyProtection="1">
      <alignment horizontal="center" wrapText="1"/>
      <protection locked="0"/>
    </xf>
    <xf numFmtId="4" fontId="11" fillId="6" borderId="35" xfId="1" applyNumberFormat="1" applyFont="1" applyFill="1" applyBorder="1" applyAlignment="1">
      <alignment horizontal="center" wrapText="1"/>
    </xf>
    <xf numFmtId="3" fontId="12" fillId="10" borderId="35" xfId="1" applyNumberFormat="1" applyFont="1" applyFill="1" applyBorder="1" applyAlignment="1" applyProtection="1">
      <alignment horizontal="center" wrapText="1"/>
      <protection locked="0"/>
    </xf>
    <xf numFmtId="3" fontId="12" fillId="12" borderId="35" xfId="1" applyNumberFormat="1" applyFont="1" applyFill="1" applyBorder="1" applyAlignment="1" applyProtection="1">
      <alignment horizontal="center" wrapText="1"/>
      <protection locked="0"/>
    </xf>
    <xf numFmtId="2" fontId="11" fillId="5" borderId="35" xfId="1" applyNumberFormat="1" applyFont="1" applyFill="1" applyBorder="1" applyAlignment="1">
      <alignment horizontal="center" wrapText="1"/>
    </xf>
    <xf numFmtId="3" fontId="11" fillId="7" borderId="35" xfId="1" applyNumberFormat="1" applyFont="1" applyFill="1" applyBorder="1" applyAlignment="1" applyProtection="1">
      <alignment horizontal="center" wrapText="1"/>
      <protection locked="0"/>
    </xf>
    <xf numFmtId="3" fontId="11" fillId="5" borderId="35" xfId="1" applyNumberFormat="1" applyFont="1" applyFill="1" applyBorder="1" applyAlignment="1">
      <alignment horizontal="center" vertical="top" wrapText="1"/>
    </xf>
    <xf numFmtId="3" fontId="11" fillId="5" borderId="34" xfId="1" applyNumberFormat="1" applyFont="1" applyFill="1" applyBorder="1" applyAlignment="1">
      <alignment horizontal="center" vertical="top" wrapText="1"/>
    </xf>
    <xf numFmtId="164" fontId="11" fillId="10" borderId="32" xfId="1" applyNumberFormat="1" applyFont="1" applyFill="1" applyBorder="1" applyAlignment="1" applyProtection="1">
      <alignment horizontal="center" wrapText="1"/>
      <protection locked="0"/>
    </xf>
    <xf numFmtId="4" fontId="12" fillId="10" borderId="32" xfId="1" applyNumberFormat="1" applyFont="1" applyFill="1" applyBorder="1" applyAlignment="1" applyProtection="1">
      <alignment horizontal="center" wrapText="1"/>
      <protection locked="0"/>
    </xf>
    <xf numFmtId="4" fontId="11" fillId="6" borderId="32" xfId="1" applyNumberFormat="1" applyFont="1" applyFill="1" applyBorder="1" applyAlignment="1">
      <alignment horizontal="center" wrapText="1"/>
    </xf>
    <xf numFmtId="3" fontId="12" fillId="10" borderId="32" xfId="1" applyNumberFormat="1" applyFont="1" applyFill="1" applyBorder="1" applyAlignment="1" applyProtection="1">
      <alignment horizontal="center" wrapText="1"/>
      <protection locked="0"/>
    </xf>
    <xf numFmtId="3" fontId="12" fillId="12" borderId="32" xfId="1" applyNumberFormat="1" applyFont="1" applyFill="1" applyBorder="1" applyAlignment="1" applyProtection="1">
      <alignment horizontal="center" wrapText="1"/>
      <protection locked="0"/>
    </xf>
    <xf numFmtId="2" fontId="11" fillId="5" borderId="32" xfId="1" applyNumberFormat="1" applyFont="1" applyFill="1" applyBorder="1" applyAlignment="1">
      <alignment horizontal="center" wrapText="1"/>
    </xf>
    <xf numFmtId="3" fontId="11" fillId="7" borderId="32" xfId="1" applyNumberFormat="1" applyFont="1" applyFill="1" applyBorder="1" applyAlignment="1" applyProtection="1">
      <alignment horizontal="center" wrapText="1"/>
      <protection locked="0"/>
    </xf>
    <xf numFmtId="3" fontId="11" fillId="5" borderId="32" xfId="1" applyNumberFormat="1" applyFont="1" applyFill="1" applyBorder="1" applyAlignment="1">
      <alignment horizontal="center" vertical="top" wrapText="1"/>
    </xf>
    <xf numFmtId="3" fontId="11" fillId="5" borderId="31" xfId="1" applyNumberFormat="1" applyFont="1" applyFill="1" applyBorder="1" applyAlignment="1">
      <alignment horizontal="center" vertical="top" wrapText="1"/>
    </xf>
    <xf numFmtId="4" fontId="10" fillId="14" borderId="29" xfId="1" applyNumberFormat="1" applyFont="1" applyFill="1" applyBorder="1" applyAlignment="1">
      <alignment horizontal="center" wrapText="1"/>
    </xf>
    <xf numFmtId="3" fontId="10" fillId="4" borderId="29" xfId="1" applyNumberFormat="1" applyFont="1" applyFill="1" applyBorder="1" applyAlignment="1">
      <alignment horizontal="center" wrapText="1"/>
    </xf>
    <xf numFmtId="2" fontId="10" fillId="5" borderId="29" xfId="1" applyNumberFormat="1" applyFont="1" applyFill="1" applyBorder="1" applyAlignment="1">
      <alignment horizontal="center" wrapText="1"/>
    </xf>
    <xf numFmtId="3" fontId="10" fillId="4" borderId="28" xfId="1" applyNumberFormat="1" applyFont="1" applyFill="1" applyBorder="1" applyAlignment="1">
      <alignment horizontal="center" wrapText="1"/>
    </xf>
    <xf numFmtId="0" fontId="17" fillId="0" borderId="0" xfId="2" applyAlignment="1" applyProtection="1"/>
    <xf numFmtId="0" fontId="0" fillId="0" borderId="0" xfId="0" quotePrefix="1"/>
    <xf numFmtId="0" fontId="25" fillId="0" borderId="66" xfId="0" applyFont="1" applyBorder="1" applyAlignment="1">
      <alignment horizontal="center"/>
    </xf>
    <xf numFmtId="0" fontId="27" fillId="15" borderId="23" xfId="0" applyFont="1" applyFill="1" applyBorder="1" applyAlignment="1">
      <alignment horizontal="center"/>
    </xf>
    <xf numFmtId="0" fontId="28" fillId="0" borderId="0" xfId="0" applyFont="1" applyAlignment="1">
      <alignment vertical="center"/>
    </xf>
    <xf numFmtId="0" fontId="17" fillId="0" borderId="0" xfId="2" applyAlignment="1" applyProtection="1">
      <alignment horizontal="center" vertical="center"/>
    </xf>
    <xf numFmtId="0" fontId="0" fillId="0" borderId="0" xfId="0" applyAlignment="1">
      <alignment wrapText="1"/>
    </xf>
    <xf numFmtId="0" fontId="30" fillId="0" borderId="0" xfId="0" applyFont="1" applyAlignment="1">
      <alignment horizontal="left" vertical="center"/>
    </xf>
    <xf numFmtId="0" fontId="31" fillId="0" borderId="0" xfId="0" applyFont="1" applyAlignment="1">
      <alignment horizontal="left" vertical="center"/>
    </xf>
    <xf numFmtId="0" fontId="30" fillId="0" borderId="0" xfId="0" applyFont="1" applyAlignment="1">
      <alignment horizontal="justify" vertical="center"/>
    </xf>
    <xf numFmtId="0" fontId="29" fillId="0" borderId="0" xfId="0" applyFont="1" applyAlignment="1">
      <alignment horizontal="left" vertical="center"/>
    </xf>
    <xf numFmtId="0" fontId="32" fillId="0" borderId="0" xfId="0" applyFont="1" applyAlignment="1">
      <alignment horizontal="justify" vertical="center"/>
    </xf>
    <xf numFmtId="0" fontId="32" fillId="0" borderId="0" xfId="0" applyFont="1" applyAlignment="1">
      <alignment horizontal="left" vertical="center" wrapText="1"/>
    </xf>
    <xf numFmtId="0" fontId="33" fillId="0" borderId="0" xfId="0" applyFont="1" applyAlignment="1">
      <alignment horizontal="center" vertical="center"/>
    </xf>
    <xf numFmtId="0" fontId="34" fillId="0" borderId="0" xfId="0" applyFont="1" applyAlignment="1">
      <alignment horizontal="left" vertical="center"/>
    </xf>
    <xf numFmtId="0" fontId="32" fillId="0" borderId="0" xfId="0" applyFont="1" applyAlignment="1">
      <alignment horizontal="justify" vertical="center" wrapText="1"/>
    </xf>
    <xf numFmtId="0" fontId="30" fillId="0" borderId="0" xfId="0" applyFont="1" applyAlignment="1">
      <alignment horizontal="left" vertical="center" wrapText="1"/>
    </xf>
    <xf numFmtId="0" fontId="31" fillId="0" borderId="0" xfId="0" applyFont="1" applyAlignment="1">
      <alignment horizontal="left" vertical="center" wrapText="1"/>
    </xf>
    <xf numFmtId="0" fontId="37" fillId="0" borderId="0" xfId="0" applyFont="1" applyAlignment="1">
      <alignment horizontal="left" vertical="center" indent="2"/>
    </xf>
    <xf numFmtId="0" fontId="38" fillId="0" borderId="0" xfId="0" applyFont="1"/>
    <xf numFmtId="0" fontId="33" fillId="0" borderId="0" xfId="0" applyFont="1" applyAlignment="1">
      <alignment horizontal="left" vertical="center" indent="11"/>
    </xf>
    <xf numFmtId="0" fontId="39" fillId="0" borderId="0" xfId="0" applyFont="1" applyAlignment="1">
      <alignment horizontal="justify" vertical="center"/>
    </xf>
    <xf numFmtId="0" fontId="41" fillId="0" borderId="0" xfId="0" applyFont="1" applyAlignment="1">
      <alignment horizontal="left" vertical="center"/>
    </xf>
    <xf numFmtId="0" fontId="41" fillId="0" borderId="0" xfId="0" applyFont="1" applyAlignment="1">
      <alignment horizontal="justify" vertical="center"/>
    </xf>
    <xf numFmtId="0" fontId="30" fillId="0" borderId="0" xfId="0" quotePrefix="1" applyFont="1" applyAlignment="1">
      <alignment horizontal="justify" vertical="center"/>
    </xf>
    <xf numFmtId="0" fontId="30" fillId="0" borderId="0" xfId="0" applyFont="1" applyAlignment="1">
      <alignment horizontal="left" vertical="center" indent="4"/>
    </xf>
    <xf numFmtId="0" fontId="38" fillId="5" borderId="0" xfId="0" applyFont="1" applyFill="1"/>
    <xf numFmtId="0" fontId="0" fillId="5" borderId="0" xfId="0" applyFill="1"/>
    <xf numFmtId="0" fontId="46" fillId="5" borderId="0" xfId="0" applyFont="1" applyFill="1" applyAlignment="1">
      <alignment horizontal="left" vertical="center" indent="7"/>
    </xf>
    <xf numFmtId="0" fontId="30" fillId="5" borderId="0" xfId="0" applyFont="1" applyFill="1" applyAlignment="1">
      <alignment horizontal="left" vertical="center"/>
    </xf>
    <xf numFmtId="0" fontId="48" fillId="0" borderId="0" xfId="0" applyFont="1" applyAlignment="1">
      <alignment horizontal="left" vertical="center" indent="2"/>
    </xf>
    <xf numFmtId="0" fontId="49" fillId="0" borderId="0" xfId="0" applyFont="1" applyAlignment="1">
      <alignment horizontal="justify" vertical="center"/>
    </xf>
    <xf numFmtId="0" fontId="49" fillId="0" borderId="0" xfId="0" applyFont="1" applyAlignment="1">
      <alignment vertical="top"/>
    </xf>
    <xf numFmtId="0" fontId="2" fillId="0" borderId="0" xfId="0" quotePrefix="1" applyFont="1"/>
    <xf numFmtId="0" fontId="29" fillId="5" borderId="0" xfId="0" applyFont="1" applyFill="1" applyAlignment="1">
      <alignment horizontal="left" vertical="center"/>
    </xf>
    <xf numFmtId="0" fontId="29" fillId="0" borderId="0" xfId="0" applyFont="1"/>
    <xf numFmtId="0" fontId="29" fillId="0" borderId="0" xfId="0" applyFont="1" applyAlignment="1">
      <alignment horizontal="left" vertical="center" indent="4"/>
    </xf>
    <xf numFmtId="0" fontId="29" fillId="0" borderId="0" xfId="0" applyFont="1" applyAlignment="1">
      <alignment horizontal="justify" vertical="center"/>
    </xf>
    <xf numFmtId="0" fontId="29" fillId="0" borderId="0" xfId="0" applyFont="1" applyAlignment="1">
      <alignment horizontal="left" vertical="center" wrapText="1"/>
    </xf>
    <xf numFmtId="0" fontId="29" fillId="0" borderId="0" xfId="0" applyFont="1" applyAlignment="1">
      <alignment horizontal="left" vertical="center" wrapText="1" indent="4"/>
    </xf>
    <xf numFmtId="0" fontId="29" fillId="5" borderId="0" xfId="0" applyFont="1" applyFill="1" applyAlignment="1">
      <alignment horizontal="left" vertical="center" wrapText="1"/>
    </xf>
    <xf numFmtId="0" fontId="29" fillId="0" borderId="0" xfId="0" applyFont="1" applyAlignment="1">
      <alignment horizontal="center" vertical="center"/>
    </xf>
    <xf numFmtId="0" fontId="53" fillId="0" borderId="0" xfId="0" applyFont="1" applyAlignment="1">
      <alignment horizontal="left" vertical="center" indent="2"/>
    </xf>
    <xf numFmtId="0" fontId="51" fillId="0" borderId="0" xfId="0" applyFont="1" applyAlignment="1">
      <alignment horizontal="left" vertical="center" wrapText="1"/>
    </xf>
    <xf numFmtId="0" fontId="29" fillId="0" borderId="0" xfId="0" applyFont="1" applyAlignment="1">
      <alignment horizontal="right" vertical="center"/>
    </xf>
    <xf numFmtId="0" fontId="54" fillId="0" borderId="0" xfId="0" applyFont="1"/>
    <xf numFmtId="0" fontId="37" fillId="0" borderId="0" xfId="0" applyFont="1" applyAlignment="1">
      <alignment vertical="center"/>
    </xf>
    <xf numFmtId="0" fontId="4" fillId="0" borderId="51" xfId="1" applyBorder="1"/>
    <xf numFmtId="0" fontId="20" fillId="0" borderId="0" xfId="1" applyFont="1" applyAlignment="1">
      <alignment horizontal="center"/>
    </xf>
    <xf numFmtId="0" fontId="57" fillId="0" borderId="0" xfId="1" applyFont="1"/>
    <xf numFmtId="0" fontId="57" fillId="0" borderId="0" xfId="1" applyFont="1" applyAlignment="1">
      <alignment horizontal="left"/>
    </xf>
    <xf numFmtId="0" fontId="58" fillId="0" borderId="0" xfId="1" applyFont="1"/>
    <xf numFmtId="0" fontId="57" fillId="0" borderId="0" xfId="1" applyFont="1" applyAlignment="1">
      <alignment horizontal="center"/>
    </xf>
    <xf numFmtId="0" fontId="59" fillId="0" borderId="0" xfId="1" applyFont="1" applyAlignment="1">
      <alignment horizontal="center"/>
    </xf>
    <xf numFmtId="0" fontId="60" fillId="0" borderId="0" xfId="1" applyFont="1" applyAlignment="1">
      <alignment horizontal="center"/>
    </xf>
    <xf numFmtId="0" fontId="17" fillId="0" borderId="0" xfId="2" quotePrefix="1" applyAlignment="1" applyProtection="1">
      <alignment wrapText="1"/>
    </xf>
    <xf numFmtId="0" fontId="59" fillId="0" borderId="53" xfId="1" applyFont="1" applyBorder="1"/>
    <xf numFmtId="0" fontId="58" fillId="0" borderId="52" xfId="1" applyFont="1" applyBorder="1"/>
    <xf numFmtId="0" fontId="4" fillId="0" borderId="52" xfId="1" applyBorder="1"/>
    <xf numFmtId="0" fontId="61" fillId="0" borderId="52" xfId="1" applyFont="1" applyBorder="1"/>
    <xf numFmtId="0" fontId="62" fillId="0" borderId="35" xfId="1" applyFont="1" applyBorder="1" applyAlignment="1">
      <alignment horizontal="left" vertical="center" wrapText="1"/>
    </xf>
    <xf numFmtId="0" fontId="62" fillId="0" borderId="35" xfId="1" applyFont="1" applyBorder="1"/>
    <xf numFmtId="0" fontId="4" fillId="0" borderId="55" xfId="1" applyBorder="1"/>
    <xf numFmtId="0" fontId="11" fillId="7" borderId="0" xfId="1" applyFont="1" applyFill="1" applyAlignment="1">
      <alignment horizontal="center" wrapText="1"/>
    </xf>
    <xf numFmtId="0" fontId="11" fillId="6" borderId="0" xfId="1" applyFont="1" applyFill="1" applyAlignment="1">
      <alignment horizontal="center" wrapText="1"/>
    </xf>
    <xf numFmtId="0" fontId="11" fillId="16" borderId="0" xfId="1" applyFont="1" applyFill="1" applyAlignment="1">
      <alignment horizontal="center" vertical="top" wrapText="1"/>
    </xf>
    <xf numFmtId="0" fontId="62" fillId="0" borderId="50" xfId="1" applyFont="1" applyBorder="1" applyAlignment="1">
      <alignment horizontal="left" vertical="center" wrapText="1"/>
    </xf>
    <xf numFmtId="0" fontId="62" fillId="0" borderId="24" xfId="1" applyFont="1" applyBorder="1"/>
    <xf numFmtId="0" fontId="4" fillId="0" borderId="24" xfId="1" applyBorder="1"/>
    <xf numFmtId="0" fontId="11" fillId="0" borderId="24" xfId="1" applyFont="1" applyBorder="1" applyAlignment="1">
      <alignment horizontal="center" vertical="top" wrapText="1"/>
    </xf>
    <xf numFmtId="0" fontId="16" fillId="0" borderId="24" xfId="1" applyFont="1" applyBorder="1"/>
    <xf numFmtId="0" fontId="11" fillId="0" borderId="0" xfId="1" applyFont="1"/>
    <xf numFmtId="0" fontId="63" fillId="0" borderId="53" xfId="1" applyFont="1" applyBorder="1"/>
    <xf numFmtId="0" fontId="4" fillId="0" borderId="0" xfId="1" applyAlignment="1">
      <alignment horizontal="left" wrapText="1"/>
    </xf>
    <xf numFmtId="0" fontId="63" fillId="0" borderId="0" xfId="1" applyFont="1"/>
    <xf numFmtId="0" fontId="4" fillId="0" borderId="0" xfId="1" applyAlignment="1">
      <alignment wrapText="1"/>
    </xf>
    <xf numFmtId="0" fontId="64" fillId="0" borderId="0" xfId="1" applyFont="1" applyAlignment="1">
      <alignment vertical="center"/>
    </xf>
    <xf numFmtId="0" fontId="66" fillId="0" borderId="0" xfId="1" applyFont="1"/>
    <xf numFmtId="0" fontId="11" fillId="18" borderId="35" xfId="1" applyFont="1" applyFill="1" applyBorder="1" applyAlignment="1">
      <alignment horizontal="center" wrapText="1"/>
    </xf>
    <xf numFmtId="0" fontId="11" fillId="20" borderId="35" xfId="1" applyFont="1" applyFill="1" applyBorder="1" applyAlignment="1">
      <alignment horizontal="center" wrapText="1"/>
    </xf>
    <xf numFmtId="0" fontId="11" fillId="17" borderId="38" xfId="1" applyFont="1" applyFill="1" applyBorder="1" applyAlignment="1">
      <alignment horizontal="center" vertical="center"/>
    </xf>
    <xf numFmtId="0" fontId="11" fillId="19" borderId="38" xfId="1" applyFont="1" applyFill="1" applyBorder="1" applyAlignment="1">
      <alignment horizontal="center" vertical="center"/>
    </xf>
    <xf numFmtId="0" fontId="4" fillId="17" borderId="45" xfId="1" applyFill="1" applyBorder="1"/>
    <xf numFmtId="0" fontId="4" fillId="19" borderId="45" xfId="1" applyFill="1" applyBorder="1"/>
    <xf numFmtId="0" fontId="0" fillId="0" borderId="36" xfId="0" applyBorder="1"/>
    <xf numFmtId="0" fontId="0" fillId="0" borderId="33" xfId="0" applyBorder="1"/>
    <xf numFmtId="0" fontId="11" fillId="18" borderId="32" xfId="1" applyFont="1" applyFill="1" applyBorder="1" applyAlignment="1">
      <alignment horizontal="center" wrapText="1"/>
    </xf>
    <xf numFmtId="0" fontId="11" fillId="17" borderId="38" xfId="1" applyFont="1" applyFill="1" applyBorder="1" applyAlignment="1">
      <alignment horizontal="center" vertical="center" wrapText="1"/>
    </xf>
    <xf numFmtId="0" fontId="11" fillId="19" borderId="38" xfId="1" applyFont="1" applyFill="1" applyBorder="1" applyAlignment="1">
      <alignment horizontal="center" vertical="center" wrapText="1"/>
    </xf>
    <xf numFmtId="0" fontId="70" fillId="0" borderId="0" xfId="0" applyFont="1"/>
    <xf numFmtId="0" fontId="71" fillId="22" borderId="49" xfId="0" applyFont="1" applyFill="1" applyBorder="1" applyAlignment="1">
      <alignment horizontal="center"/>
    </xf>
    <xf numFmtId="0" fontId="71" fillId="0" borderId="0" xfId="0" applyFont="1"/>
    <xf numFmtId="0" fontId="0" fillId="23" borderId="35" xfId="0" applyFill="1" applyBorder="1" applyAlignment="1">
      <alignment horizontal="center"/>
    </xf>
    <xf numFmtId="0" fontId="71" fillId="22" borderId="69" xfId="0" applyFont="1" applyFill="1" applyBorder="1" applyAlignment="1">
      <alignment horizontal="center"/>
    </xf>
    <xf numFmtId="0" fontId="0" fillId="22" borderId="69" xfId="0" applyFill="1" applyBorder="1" applyAlignment="1">
      <alignment horizontal="center"/>
    </xf>
    <xf numFmtId="0" fontId="72" fillId="24" borderId="49" xfId="0" applyFont="1" applyFill="1" applyBorder="1" applyAlignment="1">
      <alignment horizontal="center"/>
    </xf>
    <xf numFmtId="0" fontId="72" fillId="0" borderId="0" xfId="0" applyFont="1"/>
    <xf numFmtId="0" fontId="72" fillId="24" borderId="69" xfId="0" applyFont="1" applyFill="1" applyBorder="1" applyAlignment="1">
      <alignment horizontal="center"/>
    </xf>
    <xf numFmtId="0" fontId="73" fillId="25" borderId="49" xfId="0" applyFont="1" applyFill="1" applyBorder="1" applyAlignment="1">
      <alignment horizontal="center"/>
    </xf>
    <xf numFmtId="0" fontId="73" fillId="0" borderId="0" xfId="0" applyFont="1"/>
    <xf numFmtId="0" fontId="73" fillId="25" borderId="69" xfId="0" applyFont="1" applyFill="1" applyBorder="1" applyAlignment="1">
      <alignment horizontal="center"/>
    </xf>
    <xf numFmtId="0" fontId="0" fillId="22" borderId="23" xfId="0" applyFill="1" applyBorder="1"/>
    <xf numFmtId="0" fontId="69" fillId="24" borderId="23" xfId="0" applyFont="1" applyFill="1" applyBorder="1" applyAlignment="1">
      <alignment horizontal="center"/>
    </xf>
    <xf numFmtId="0" fontId="0" fillId="25" borderId="23" xfId="0" applyFill="1" applyBorder="1"/>
    <xf numFmtId="0" fontId="69" fillId="0" borderId="0" xfId="0" applyFont="1" applyAlignment="1">
      <alignment horizontal="center"/>
    </xf>
    <xf numFmtId="0" fontId="69" fillId="0" borderId="0" xfId="0" applyFont="1"/>
    <xf numFmtId="0" fontId="74" fillId="0" borderId="0" xfId="0" applyFont="1"/>
    <xf numFmtId="0" fontId="64" fillId="0" borderId="0" xfId="0" applyFont="1" applyAlignment="1">
      <alignment vertical="center"/>
    </xf>
    <xf numFmtId="0" fontId="66" fillId="0" borderId="0" xfId="0" applyFont="1"/>
    <xf numFmtId="0" fontId="1" fillId="0" borderId="15" xfId="0" applyFont="1" applyBorder="1"/>
    <xf numFmtId="0" fontId="0" fillId="0" borderId="9" xfId="0" applyBorder="1"/>
    <xf numFmtId="0" fontId="0" fillId="0" borderId="10" xfId="0" applyBorder="1"/>
    <xf numFmtId="0" fontId="69" fillId="23" borderId="21" xfId="0" applyFont="1" applyFill="1" applyBorder="1" applyAlignment="1">
      <alignment horizontal="center"/>
    </xf>
    <xf numFmtId="0" fontId="69" fillId="23" borderId="19" xfId="0" applyFont="1" applyFill="1" applyBorder="1" applyAlignment="1">
      <alignment horizontal="center"/>
    </xf>
    <xf numFmtId="0" fontId="29" fillId="5" borderId="0" xfId="0" applyFont="1" applyFill="1" applyAlignment="1">
      <alignment horizontal="left" vertical="center" wrapText="1" indent="1"/>
    </xf>
    <xf numFmtId="0" fontId="17" fillId="0" borderId="0" xfId="2" quotePrefix="1" applyAlignment="1" applyProtection="1">
      <alignment horizontal="left" wrapText="1"/>
    </xf>
    <xf numFmtId="0" fontId="56" fillId="0" borderId="53" xfId="1" applyFont="1" applyBorder="1" applyAlignment="1">
      <alignment horizontal="center"/>
    </xf>
    <xf numFmtId="0" fontId="56" fillId="0" borderId="51" xfId="1" applyFont="1" applyBorder="1" applyAlignment="1">
      <alignment horizontal="center"/>
    </xf>
    <xf numFmtId="0" fontId="56" fillId="0" borderId="67" xfId="1" applyFont="1" applyBorder="1" applyAlignment="1">
      <alignment horizontal="center"/>
    </xf>
    <xf numFmtId="0" fontId="56" fillId="0" borderId="68" xfId="1" applyFont="1" applyBorder="1" applyAlignment="1">
      <alignment horizontal="center"/>
    </xf>
    <xf numFmtId="0" fontId="20" fillId="0" borderId="53" xfId="1" applyFont="1" applyBorder="1" applyAlignment="1">
      <alignment horizontal="center"/>
    </xf>
    <xf numFmtId="0" fontId="20" fillId="0" borderId="51" xfId="1" applyFont="1" applyBorder="1" applyAlignment="1">
      <alignment horizontal="center"/>
    </xf>
    <xf numFmtId="0" fontId="57" fillId="0" borderId="50" xfId="1" applyFont="1" applyBorder="1" applyAlignment="1">
      <alignment horizontal="center" wrapText="1"/>
    </xf>
    <xf numFmtId="0" fontId="57" fillId="0" borderId="22" xfId="1" applyFont="1" applyBorder="1" applyAlignment="1">
      <alignment horizontal="center" wrapText="1"/>
    </xf>
    <xf numFmtId="0" fontId="59" fillId="0" borderId="60" xfId="1" applyFont="1" applyBorder="1" applyAlignment="1">
      <alignment horizontal="center"/>
    </xf>
    <xf numFmtId="0" fontId="60" fillId="0" borderId="62" xfId="1" applyFont="1" applyBorder="1" applyAlignment="1">
      <alignment horizontal="center"/>
    </xf>
    <xf numFmtId="0" fontId="11" fillId="0" borderId="54" xfId="1" applyFont="1" applyBorder="1" applyAlignment="1">
      <alignment horizontal="left" wrapText="1"/>
    </xf>
    <xf numFmtId="0" fontId="11" fillId="0" borderId="55" xfId="1" applyFont="1" applyBorder="1" applyAlignment="1">
      <alignment horizontal="left" wrapText="1"/>
    </xf>
    <xf numFmtId="0" fontId="11" fillId="0" borderId="50" xfId="1" applyFont="1" applyBorder="1" applyAlignment="1">
      <alignment horizontal="left" vertical="top" wrapText="1"/>
    </xf>
    <xf numFmtId="0" fontId="11" fillId="0" borderId="22" xfId="1" applyFont="1" applyBorder="1" applyAlignment="1">
      <alignment horizontal="left" vertical="top" wrapText="1"/>
    </xf>
    <xf numFmtId="0" fontId="11" fillId="11" borderId="36" xfId="1" applyFont="1" applyFill="1" applyBorder="1" applyAlignment="1">
      <alignment wrapText="1"/>
    </xf>
    <xf numFmtId="0" fontId="11" fillId="11" borderId="21" xfId="1" applyFont="1" applyFill="1" applyBorder="1" applyAlignment="1">
      <alignment wrapText="1"/>
    </xf>
    <xf numFmtId="0" fontId="11" fillId="10" borderId="36" xfId="1" applyFont="1" applyFill="1" applyBorder="1" applyAlignment="1">
      <alignment horizontal="center" wrapText="1"/>
    </xf>
    <xf numFmtId="0" fontId="11" fillId="10" borderId="35" xfId="1" applyFont="1" applyFill="1" applyBorder="1" applyAlignment="1">
      <alignment horizontal="center" wrapText="1"/>
    </xf>
    <xf numFmtId="0" fontId="11" fillId="10" borderId="34" xfId="1" applyFont="1" applyFill="1" applyBorder="1" applyAlignment="1">
      <alignment horizontal="center" wrapText="1"/>
    </xf>
    <xf numFmtId="0" fontId="20" fillId="11" borderId="53" xfId="1" applyFont="1" applyFill="1" applyBorder="1" applyAlignment="1">
      <alignment horizontal="center" vertical="center" wrapText="1"/>
    </xf>
    <xf numFmtId="0" fontId="4" fillId="0" borderId="52" xfId="1" applyBorder="1" applyAlignment="1">
      <alignment horizontal="center" vertical="center" wrapText="1"/>
    </xf>
    <xf numFmtId="0" fontId="4" fillId="0" borderId="51" xfId="1" applyBorder="1" applyAlignment="1">
      <alignment horizontal="center" vertical="center" wrapText="1"/>
    </xf>
    <xf numFmtId="0" fontId="4" fillId="0" borderId="50" xfId="1" applyBorder="1" applyAlignment="1">
      <alignment horizontal="center" vertical="center" wrapText="1"/>
    </xf>
    <xf numFmtId="0" fontId="4" fillId="0" borderId="24" xfId="1" applyBorder="1" applyAlignment="1">
      <alignment horizontal="center" vertical="center" wrapText="1"/>
    </xf>
    <xf numFmtId="0" fontId="4" fillId="0" borderId="22" xfId="1" applyBorder="1" applyAlignment="1">
      <alignment horizontal="center" vertical="center" wrapText="1"/>
    </xf>
    <xf numFmtId="0" fontId="11" fillId="11" borderId="47" xfId="1" applyFont="1" applyFill="1" applyBorder="1" applyAlignment="1">
      <alignment wrapText="1"/>
    </xf>
    <xf numFmtId="0" fontId="11" fillId="11" borderId="46" xfId="1" applyFont="1" applyFill="1" applyBorder="1" applyAlignment="1">
      <alignment wrapText="1"/>
    </xf>
    <xf numFmtId="0" fontId="11" fillId="10" borderId="47" xfId="1" applyFont="1" applyFill="1" applyBorder="1" applyAlignment="1">
      <alignment horizontal="center" wrapText="1"/>
    </xf>
    <xf numFmtId="0" fontId="11" fillId="10" borderId="45" xfId="1" applyFont="1" applyFill="1" applyBorder="1" applyAlignment="1">
      <alignment horizontal="center" wrapText="1"/>
    </xf>
    <xf numFmtId="0" fontId="11" fillId="10" borderId="44" xfId="1" applyFont="1" applyFill="1" applyBorder="1" applyAlignment="1">
      <alignment horizontal="center" wrapText="1"/>
    </xf>
    <xf numFmtId="0" fontId="11" fillId="11" borderId="36" xfId="1" applyFont="1" applyFill="1" applyBorder="1" applyAlignment="1">
      <alignment horizontal="left" wrapText="1"/>
    </xf>
    <xf numFmtId="0" fontId="11" fillId="11" borderId="21" xfId="1" applyFont="1" applyFill="1" applyBorder="1" applyAlignment="1">
      <alignment horizontal="left" wrapText="1"/>
    </xf>
    <xf numFmtId="0" fontId="4" fillId="0" borderId="35" xfId="1" applyBorder="1" applyAlignment="1">
      <alignment horizontal="center" wrapText="1"/>
    </xf>
    <xf numFmtId="0" fontId="4" fillId="0" borderId="34" xfId="1" applyBorder="1" applyAlignment="1">
      <alignment horizontal="center" wrapText="1"/>
    </xf>
    <xf numFmtId="0" fontId="11" fillId="10" borderId="43" xfId="1" applyFont="1" applyFill="1" applyBorder="1" applyAlignment="1">
      <alignment horizontal="center" wrapText="1"/>
    </xf>
    <xf numFmtId="0" fontId="11" fillId="10" borderId="41" xfId="1" applyFont="1" applyFill="1" applyBorder="1" applyAlignment="1">
      <alignment horizontal="center" wrapText="1"/>
    </xf>
    <xf numFmtId="0" fontId="11" fillId="10" borderId="40" xfId="1" applyFont="1" applyFill="1" applyBorder="1" applyAlignment="1">
      <alignment horizontal="center" wrapText="1"/>
    </xf>
    <xf numFmtId="0" fontId="10" fillId="0" borderId="27" xfId="1" applyFont="1" applyBorder="1" applyAlignment="1">
      <alignment horizontal="center" wrapText="1"/>
    </xf>
    <xf numFmtId="0" fontId="4" fillId="0" borderId="26" xfId="1" applyBorder="1" applyAlignment="1">
      <alignment horizontal="center" wrapText="1"/>
    </xf>
    <xf numFmtId="0" fontId="4" fillId="0" borderId="25" xfId="1" applyBorder="1" applyAlignment="1">
      <alignment horizontal="center" wrapText="1"/>
    </xf>
    <xf numFmtId="0" fontId="8" fillId="0" borderId="21" xfId="1" quotePrefix="1" applyFont="1" applyBorder="1" applyAlignment="1">
      <alignment vertical="top" wrapText="1"/>
    </xf>
    <xf numFmtId="0" fontId="8" fillId="0" borderId="20" xfId="1" applyFont="1" applyBorder="1" applyAlignment="1">
      <alignment vertical="top" wrapText="1"/>
    </xf>
    <xf numFmtId="0" fontId="4" fillId="0" borderId="20" xfId="1" applyBorder="1"/>
    <xf numFmtId="0" fontId="4" fillId="0" borderId="19" xfId="1" applyBorder="1"/>
    <xf numFmtId="0" fontId="8" fillId="0" borderId="21" xfId="1" quotePrefix="1" applyFont="1" applyBorder="1" applyAlignment="1">
      <alignment horizontal="left" wrapText="1"/>
    </xf>
    <xf numFmtId="0" fontId="8" fillId="0" borderId="20" xfId="1" applyFont="1" applyBorder="1" applyAlignment="1">
      <alignment horizontal="left" wrapText="1"/>
    </xf>
    <xf numFmtId="0" fontId="5" fillId="0" borderId="21" xfId="1" applyFont="1" applyBorder="1" applyAlignment="1">
      <alignment horizontal="left" vertical="top" wrapText="1"/>
    </xf>
    <xf numFmtId="0" fontId="5" fillId="0" borderId="20" xfId="1" applyFont="1" applyBorder="1" applyAlignment="1">
      <alignment horizontal="left" vertical="top" wrapText="1"/>
    </xf>
    <xf numFmtId="0" fontId="5" fillId="0" borderId="19" xfId="1" applyFont="1" applyBorder="1" applyAlignment="1">
      <alignment horizontal="left" vertical="top" wrapText="1"/>
    </xf>
    <xf numFmtId="0" fontId="19" fillId="21" borderId="60" xfId="1" applyFont="1" applyFill="1" applyBorder="1" applyAlignment="1">
      <alignment horizontal="center" vertical="center"/>
    </xf>
    <xf numFmtId="0" fontId="19" fillId="21" borderId="61" xfId="1" applyFont="1" applyFill="1" applyBorder="1" applyAlignment="1">
      <alignment horizontal="center" vertical="center"/>
    </xf>
    <xf numFmtId="0" fontId="19" fillId="21" borderId="62" xfId="1" applyFont="1" applyFill="1" applyBorder="1" applyAlignment="1">
      <alignment horizontal="center" vertical="center"/>
    </xf>
    <xf numFmtId="0" fontId="68" fillId="21" borderId="60" xfId="1" applyFont="1" applyFill="1" applyBorder="1" applyAlignment="1">
      <alignment horizontal="center" vertical="center" wrapText="1"/>
    </xf>
    <xf numFmtId="0" fontId="15" fillId="21" borderId="61" xfId="1" applyFont="1" applyFill="1" applyBorder="1" applyAlignment="1">
      <alignment horizontal="center" vertical="center" wrapText="1"/>
    </xf>
    <xf numFmtId="0" fontId="15" fillId="21" borderId="62" xfId="1" applyFont="1" applyFill="1" applyBorder="1" applyAlignment="1">
      <alignment horizontal="center" vertical="center" wrapText="1"/>
    </xf>
    <xf numFmtId="0" fontId="11" fillId="11" borderId="54" xfId="1" applyFont="1" applyFill="1" applyBorder="1" applyAlignment="1">
      <alignment horizontal="left"/>
    </xf>
    <xf numFmtId="0" fontId="11" fillId="11" borderId="0" xfId="1" applyFont="1" applyFill="1" applyAlignment="1">
      <alignment horizontal="left"/>
    </xf>
    <xf numFmtId="0" fontId="11" fillId="11" borderId="55" xfId="1" applyFont="1" applyFill="1" applyBorder="1" applyAlignment="1">
      <alignment horizontal="left"/>
    </xf>
    <xf numFmtId="0" fontId="11" fillId="10" borderId="0" xfId="1" applyFont="1" applyFill="1" applyAlignment="1">
      <alignment horizontal="center" wrapText="1"/>
    </xf>
    <xf numFmtId="0" fontId="11" fillId="10" borderId="11" xfId="1" applyFont="1" applyFill="1" applyBorder="1" applyAlignment="1">
      <alignment horizontal="center" wrapText="1"/>
    </xf>
    <xf numFmtId="0" fontId="11" fillId="11" borderId="53" xfId="1" applyFont="1" applyFill="1" applyBorder="1" applyAlignment="1">
      <alignment horizontal="left"/>
    </xf>
    <xf numFmtId="0" fontId="11" fillId="11" borderId="52" xfId="1" applyFont="1" applyFill="1" applyBorder="1" applyAlignment="1">
      <alignment horizontal="left"/>
    </xf>
    <xf numFmtId="0" fontId="11" fillId="11" borderId="51" xfId="1" applyFont="1" applyFill="1" applyBorder="1" applyAlignment="1">
      <alignment horizontal="left"/>
    </xf>
    <xf numFmtId="0" fontId="11" fillId="10" borderId="9" xfId="1" applyFont="1" applyFill="1" applyBorder="1" applyAlignment="1">
      <alignment horizontal="center" wrapText="1"/>
    </xf>
    <xf numFmtId="0" fontId="11" fillId="10" borderId="10" xfId="1" applyFont="1" applyFill="1" applyBorder="1" applyAlignment="1">
      <alignment horizontal="center" wrapText="1"/>
    </xf>
    <xf numFmtId="0" fontId="8" fillId="0" borderId="20" xfId="1" quotePrefix="1" applyFont="1" applyBorder="1" applyAlignment="1">
      <alignment horizontal="left" wrapText="1"/>
    </xf>
    <xf numFmtId="0" fontId="8" fillId="0" borderId="19" xfId="1" quotePrefix="1" applyFont="1" applyBorder="1" applyAlignment="1">
      <alignment horizontal="left" wrapText="1"/>
    </xf>
    <xf numFmtId="0" fontId="11" fillId="10" borderId="0" xfId="1" applyFont="1" applyFill="1" applyAlignment="1">
      <alignment horizontal="left" wrapText="1"/>
    </xf>
    <xf numFmtId="0" fontId="11" fillId="10" borderId="11" xfId="1" applyFont="1" applyFill="1" applyBorder="1" applyAlignment="1">
      <alignment horizontal="left" wrapText="1"/>
    </xf>
    <xf numFmtId="0" fontId="18" fillId="0" borderId="54" xfId="1" applyFont="1" applyBorder="1" applyAlignment="1">
      <alignment horizontal="left" vertical="top"/>
    </xf>
    <xf numFmtId="0" fontId="18" fillId="0" borderId="0" xfId="1" applyFont="1" applyAlignment="1">
      <alignment horizontal="left" vertical="top"/>
    </xf>
    <xf numFmtId="0" fontId="18" fillId="0" borderId="55" xfId="1" applyFont="1" applyBorder="1" applyAlignment="1">
      <alignment horizontal="left" vertical="top"/>
    </xf>
    <xf numFmtId="0" fontId="18" fillId="0" borderId="50" xfId="1" applyFont="1" applyBorder="1" applyAlignment="1">
      <alignment horizontal="left" vertical="top"/>
    </xf>
    <xf numFmtId="0" fontId="18" fillId="0" borderId="24" xfId="1" applyFont="1" applyBorder="1" applyAlignment="1">
      <alignment horizontal="left" vertical="top"/>
    </xf>
    <xf numFmtId="0" fontId="18" fillId="0" borderId="22" xfId="1" applyFont="1" applyBorder="1" applyAlignment="1">
      <alignment horizontal="left" vertical="top"/>
    </xf>
    <xf numFmtId="0" fontId="16" fillId="0" borderId="21" xfId="1" applyFont="1" applyBorder="1" applyAlignment="1">
      <alignment horizontal="center" vertical="top" wrapText="1"/>
    </xf>
    <xf numFmtId="0" fontId="16" fillId="0" borderId="20" xfId="1" applyFont="1" applyBorder="1" applyAlignment="1">
      <alignment horizontal="center" vertical="top" wrapText="1"/>
    </xf>
    <xf numFmtId="0" fontId="16" fillId="0" borderId="19" xfId="1" applyFont="1" applyBorder="1" applyAlignment="1">
      <alignment horizontal="center" vertical="top" wrapText="1"/>
    </xf>
    <xf numFmtId="0" fontId="8" fillId="0" borderId="21" xfId="1" quotePrefix="1" applyFont="1" applyBorder="1" applyAlignment="1">
      <alignment horizontal="left" vertical="top" wrapText="1"/>
    </xf>
    <xf numFmtId="0" fontId="8" fillId="0" borderId="20" xfId="1" quotePrefix="1" applyFont="1" applyBorder="1" applyAlignment="1">
      <alignment horizontal="left" vertical="top" wrapText="1"/>
    </xf>
    <xf numFmtId="0" fontId="8" fillId="0" borderId="19" xfId="1" quotePrefix="1" applyFont="1" applyBorder="1" applyAlignment="1">
      <alignment horizontal="left" vertical="top" wrapText="1"/>
    </xf>
    <xf numFmtId="0" fontId="4" fillId="0" borderId="51" xfId="1" applyBorder="1"/>
    <xf numFmtId="0" fontId="4" fillId="0" borderId="22" xfId="1" applyBorder="1"/>
    <xf numFmtId="0" fontId="15" fillId="0" borderId="52" xfId="1" applyFont="1" applyBorder="1" applyAlignment="1">
      <alignment horizontal="center" vertical="center"/>
    </xf>
    <xf numFmtId="0" fontId="15" fillId="0" borderId="51" xfId="1" applyFont="1" applyBorder="1" applyAlignment="1">
      <alignment horizontal="center" vertical="center"/>
    </xf>
    <xf numFmtId="0" fontId="15" fillId="0" borderId="60" xfId="1" applyFont="1" applyBorder="1" applyAlignment="1">
      <alignment horizontal="center" vertical="center" wrapText="1"/>
    </xf>
    <xf numFmtId="0" fontId="15" fillId="0" borderId="61" xfId="1" applyFont="1" applyBorder="1" applyAlignment="1">
      <alignment horizontal="center" vertical="center" wrapText="1"/>
    </xf>
    <xf numFmtId="0" fontId="15" fillId="0" borderId="62" xfId="1" applyFont="1" applyBorder="1" applyAlignment="1">
      <alignment horizontal="center" vertical="center" wrapText="1"/>
    </xf>
    <xf numFmtId="0" fontId="5" fillId="0" borderId="21" xfId="1" applyFont="1" applyBorder="1" applyAlignment="1">
      <alignment vertical="top" wrapText="1"/>
    </xf>
    <xf numFmtId="0" fontId="5" fillId="0" borderId="20" xfId="1" applyFont="1" applyBorder="1" applyAlignment="1">
      <alignment vertical="top" wrapText="1"/>
    </xf>
    <xf numFmtId="0" fontId="5" fillId="0" borderId="19" xfId="1" applyFont="1" applyBorder="1" applyAlignment="1">
      <alignment vertical="top" wrapText="1"/>
    </xf>
    <xf numFmtId="0" fontId="4" fillId="12" borderId="54" xfId="1" applyFill="1" applyBorder="1" applyAlignment="1">
      <alignment horizontal="center"/>
    </xf>
    <xf numFmtId="0" fontId="4" fillId="12" borderId="0" xfId="1" applyFill="1" applyAlignment="1">
      <alignment horizontal="center"/>
    </xf>
    <xf numFmtId="0" fontId="10" fillId="0" borderId="50" xfId="1" applyFont="1" applyBorder="1" applyAlignment="1">
      <alignment horizontal="center" wrapText="1"/>
    </xf>
    <xf numFmtId="0" fontId="10" fillId="0" borderId="24" xfId="1" applyFont="1" applyBorder="1" applyAlignment="1">
      <alignment horizontal="center" wrapText="1"/>
    </xf>
    <xf numFmtId="0" fontId="10" fillId="0" borderId="0" xfId="1" applyFont="1" applyAlignment="1">
      <alignment horizontal="center"/>
    </xf>
    <xf numFmtId="0" fontId="4" fillId="0" borderId="0" xfId="1" applyAlignment="1">
      <alignment horizontal="center"/>
    </xf>
    <xf numFmtId="0" fontId="8" fillId="0" borderId="21" xfId="1" quotePrefix="1" applyFont="1" applyBorder="1" applyAlignment="1">
      <alignment horizontal="center" vertical="top" wrapText="1"/>
    </xf>
    <xf numFmtId="0" fontId="8" fillId="0" borderId="20" xfId="1" quotePrefix="1" applyFont="1" applyBorder="1" applyAlignment="1">
      <alignment horizontal="center" vertical="top" wrapText="1"/>
    </xf>
    <xf numFmtId="0" fontId="8" fillId="0" borderId="19" xfId="1" quotePrefix="1" applyFont="1" applyBorder="1" applyAlignment="1">
      <alignment horizontal="center" vertical="top" wrapText="1"/>
    </xf>
    <xf numFmtId="0" fontId="8" fillId="0" borderId="21" xfId="1" quotePrefix="1" applyFont="1" applyBorder="1" applyAlignment="1">
      <alignment horizontal="center" wrapText="1"/>
    </xf>
    <xf numFmtId="0" fontId="8" fillId="0" borderId="20" xfId="1" quotePrefix="1" applyFont="1" applyBorder="1" applyAlignment="1">
      <alignment horizontal="center" wrapText="1"/>
    </xf>
    <xf numFmtId="0" fontId="8" fillId="0" borderId="19" xfId="1" quotePrefix="1" applyFont="1" applyBorder="1" applyAlignment="1">
      <alignment horizontal="center" wrapText="1"/>
    </xf>
    <xf numFmtId="0" fontId="10" fillId="0" borderId="0" xfId="1" applyFont="1" applyAlignment="1">
      <alignment horizontal="center" wrapText="1"/>
    </xf>
    <xf numFmtId="0" fontId="8" fillId="0" borderId="35" xfId="1" applyFont="1" applyBorder="1" applyAlignment="1">
      <alignment vertical="top" wrapText="1"/>
    </xf>
    <xf numFmtId="0" fontId="4" fillId="0" borderId="35" xfId="1" applyBorder="1"/>
    <xf numFmtId="0" fontId="4" fillId="0" borderId="35" xfId="1" applyBorder="1" applyAlignment="1">
      <alignment vertical="top"/>
    </xf>
    <xf numFmtId="0" fontId="75" fillId="0" borderId="0" xfId="0" applyFont="1" applyFill="1" applyAlignment="1">
      <alignment vertical="center"/>
    </xf>
    <xf numFmtId="0" fontId="76" fillId="0" borderId="0" xfId="0" applyFont="1" applyFill="1" applyAlignment="1">
      <alignment vertical="top" wrapText="1"/>
    </xf>
    <xf numFmtId="0" fontId="77" fillId="26" borderId="0" xfId="0" applyFont="1" applyFill="1" applyAlignment="1">
      <alignment vertical="center" indent="1"/>
    </xf>
    <xf numFmtId="0" fontId="78" fillId="27" borderId="0" xfId="0" applyFont="1" applyFill="1" applyAlignment="1">
      <alignment vertical="top" wrapText="1"/>
    </xf>
    <xf numFmtId="0" fontId="79" fillId="0" borderId="0" xfId="0" applyFont="1" applyFill="1" applyAlignment="1">
      <alignment vertical="top" wrapText="1"/>
    </xf>
    <xf numFmtId="0" fontId="80" fillId="0" borderId="0" xfId="2" applyFont="1" applyFill="1" applyAlignment="1">
      <alignment vertical="top"/>
    </xf>
    <xf numFmtId="0" fontId="81" fillId="0" borderId="0" xfId="2" applyFont="1" applyFill="1" applyAlignment="1">
      <alignment vertical="center"/>
    </xf>
    <xf numFmtId="0" fontId="76" fillId="0" borderId="0" xfId="0" applyFont="1" applyFill="1" applyAlignment="1">
      <alignment vertical="top"/>
    </xf>
    <xf numFmtId="0" fontId="4" fillId="28" borderId="0" xfId="1" applyFont="1" applyFill="1" applyAlignment="1" applyProtection="1">
      <alignment horizontal="center"/>
      <protection locked="0"/>
    </xf>
  </cellXfs>
  <cellStyles count="3">
    <cellStyle name="Lien hypertexte" xfId="2" builtinId="8"/>
    <cellStyle name="Normal" xfId="0" builtinId="0"/>
    <cellStyle name="Normal 2" xfId="1" xr:uid="{F3284C15-E637-4AE0-8A99-98AC0AD21F06}"/>
  </cellStyles>
  <dxfs count="17">
    <dxf>
      <fill>
        <patternFill>
          <bgColor rgb="FFFFC000"/>
        </patternFill>
      </fill>
    </dxf>
    <dxf>
      <fill>
        <patternFill>
          <bgColor rgb="FFC00000"/>
        </patternFill>
      </fill>
    </dxf>
    <dxf>
      <fill>
        <patternFill>
          <bgColor rgb="FFFF0000"/>
        </patternFill>
      </fill>
    </dxf>
    <dxf>
      <font>
        <b/>
        <i val="0"/>
        <condense val="0"/>
        <extend val="0"/>
        <color indexed="8"/>
      </font>
      <fill>
        <patternFill>
          <bgColor indexed="10"/>
        </patternFill>
      </fill>
    </dxf>
    <dxf>
      <font>
        <b/>
        <i val="0"/>
        <condense val="0"/>
        <extend val="0"/>
        <color indexed="10"/>
      </font>
    </dxf>
    <dxf>
      <font>
        <b/>
        <i val="0"/>
        <condense val="0"/>
        <extend val="0"/>
        <color indexed="8"/>
      </font>
      <fill>
        <patternFill>
          <bgColor indexed="10"/>
        </patternFill>
      </fill>
    </dxf>
    <dxf>
      <font>
        <b/>
        <i val="0"/>
        <condense val="0"/>
        <extend val="0"/>
        <color indexed="8"/>
      </font>
      <fill>
        <patternFill>
          <bgColor indexed="10"/>
        </patternFill>
      </fill>
    </dxf>
    <dxf>
      <font>
        <b/>
        <i val="0"/>
        <condense val="0"/>
        <extend val="0"/>
        <color indexed="10"/>
      </font>
    </dxf>
    <dxf>
      <font>
        <b/>
        <i val="0"/>
        <condense val="0"/>
        <extend val="0"/>
        <color indexed="8"/>
      </font>
      <fill>
        <patternFill>
          <bgColor indexed="10"/>
        </patternFill>
      </fill>
    </dxf>
    <dxf>
      <font>
        <b/>
        <i val="0"/>
        <condense val="0"/>
        <extend val="0"/>
        <color indexed="8"/>
      </font>
      <fill>
        <patternFill>
          <bgColor indexed="10"/>
        </patternFill>
      </fill>
    </dxf>
    <dxf>
      <font>
        <b/>
        <i val="0"/>
        <condense val="0"/>
        <extend val="0"/>
        <color indexed="8"/>
      </font>
      <fill>
        <patternFill>
          <bgColor indexed="10"/>
        </patternFill>
      </fill>
    </dxf>
    <dxf>
      <font>
        <b/>
        <i val="0"/>
        <condense val="0"/>
        <extend val="0"/>
        <color indexed="8"/>
      </font>
      <fill>
        <patternFill>
          <bgColor indexed="10"/>
        </patternFill>
      </fill>
    </dxf>
    <dxf>
      <font>
        <color rgb="FFFF0000"/>
      </font>
    </dxf>
    <dxf>
      <font>
        <b/>
        <i val="0"/>
        <condense val="0"/>
        <extend val="0"/>
        <color indexed="8"/>
      </font>
      <fill>
        <patternFill>
          <bgColor indexed="10"/>
        </patternFill>
      </fill>
    </dxf>
    <dxf>
      <font>
        <b/>
        <i val="0"/>
        <condense val="0"/>
        <extend val="0"/>
        <color indexed="10"/>
      </font>
    </dxf>
    <dxf>
      <font>
        <color theme="0"/>
      </font>
    </dxf>
    <dxf>
      <font>
        <color theme="1"/>
      </font>
    </dxf>
  </dxfs>
  <tableStyles count="1" defaultTableStyle="TableStyleMedium2" defaultPivotStyle="PivotStyleLight16">
    <tableStyle name="Invisible" pivot="0" table="0" count="0" xr9:uid="{C9EEFA72-9321-49BB-B835-AA5BCDDE241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20" Type="http://schemas.openxmlformats.org/officeDocument/2006/relationships/worksheet" Target="worksheets/sheet1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Volume</a:t>
            </a:r>
            <a:r>
              <a:rPr lang="fr-FR" baseline="0"/>
              <a:t> ECS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1'!$F$16</c:f>
            </c:strRef>
          </c:tx>
          <c:spPr>
            <a:ln w="28575" cap="rnd">
              <a:solidFill>
                <a:schemeClr val="accent1"/>
              </a:solidFill>
              <a:round/>
            </a:ln>
            <a:effectLst/>
          </c:spPr>
          <c:marker>
            <c:symbol val="none"/>
          </c:marker>
          <c:cat>
            <c:strRef>
              <c:f>'Suivi instal TYPE 1'!$C$19:$C$30</c:f>
            </c:strRef>
          </c:cat>
          <c:val>
            <c:numRef>
              <c:f>'Suivi instal TYPE 1'!$F$19:$F$30</c:f>
            </c:numRef>
          </c:val>
          <c:smooth val="0"/>
          <c:extLst>
            <c:ext xmlns:c16="http://schemas.microsoft.com/office/drawing/2014/chart" uri="{C3380CC4-5D6E-409C-BE32-E72D297353CC}">
              <c16:uniqueId val="{00000004-A831-445E-AD36-572045472876}"/>
            </c:ext>
          </c:extLst>
        </c:ser>
        <c:ser>
          <c:idx val="1"/>
          <c:order val="1"/>
          <c:tx>
            <c:strRef>
              <c:f>'Suivi instal TYPE 1'!$G$16</c:f>
            </c:strRef>
          </c:tx>
          <c:spPr>
            <a:ln w="28575" cap="rnd">
              <a:solidFill>
                <a:schemeClr val="accent2"/>
              </a:solidFill>
              <a:round/>
            </a:ln>
            <a:effectLst/>
          </c:spPr>
          <c:marker>
            <c:symbol val="none"/>
          </c:marker>
          <c:cat>
            <c:strRef>
              <c:f>'Suivi instal TYPE 1'!$C$19:$C$30</c:f>
            </c:strRef>
          </c:cat>
          <c:val>
            <c:numRef>
              <c:f>'Suivi instal TYPE 1'!$G$19:$G$30</c:f>
            </c:numRef>
          </c:val>
          <c:smooth val="0"/>
          <c:extLst>
            <c:ext xmlns:c16="http://schemas.microsoft.com/office/drawing/2014/chart" uri="{C3380CC4-5D6E-409C-BE32-E72D297353CC}">
              <c16:uniqueId val="{00000005-A831-445E-AD36-572045472876}"/>
            </c:ext>
          </c:extLst>
        </c:ser>
        <c:ser>
          <c:idx val="2"/>
          <c:order val="2"/>
          <c:tx>
            <c:strRef>
              <c:f>'Suivi instal TYPE 1'!$H$16</c:f>
            </c:strRef>
          </c:tx>
          <c:spPr>
            <a:ln w="28575" cap="rnd">
              <a:solidFill>
                <a:schemeClr val="accent3"/>
              </a:solidFill>
              <a:round/>
            </a:ln>
            <a:effectLst/>
          </c:spPr>
          <c:marker>
            <c:symbol val="none"/>
          </c:marker>
          <c:cat>
            <c:strRef>
              <c:f>'Suivi instal TYPE 1'!$C$19:$C$30</c:f>
            </c:strRef>
          </c:cat>
          <c:val>
            <c:numRef>
              <c:f>'Suivi instal TYPE 1'!$H$19:$H$30</c:f>
            </c:numRef>
          </c:val>
          <c:smooth val="0"/>
          <c:extLst>
            <c:ext xmlns:c16="http://schemas.microsoft.com/office/drawing/2014/chart" uri="{C3380CC4-5D6E-409C-BE32-E72D297353CC}">
              <c16:uniqueId val="{00000006-A831-445E-AD36-572045472876}"/>
            </c:ext>
          </c:extLst>
        </c:ser>
        <c:ser>
          <c:idx val="3"/>
          <c:order val="3"/>
          <c:tx>
            <c:strRef>
              <c:f>'Suivi instal TYPE 1'!$I$16</c:f>
            </c:strRef>
          </c:tx>
          <c:spPr>
            <a:ln w="28575" cap="rnd">
              <a:solidFill>
                <a:schemeClr val="accent4"/>
              </a:solidFill>
              <a:round/>
            </a:ln>
            <a:effectLst/>
          </c:spPr>
          <c:marker>
            <c:symbol val="none"/>
          </c:marker>
          <c:cat>
            <c:strRef>
              <c:f>'Suivi instal TYPE 1'!$C$19:$C$30</c:f>
            </c:strRef>
          </c:cat>
          <c:val>
            <c:numRef>
              <c:f>'Suivi instal TYPE 1'!$I$19:$I$30</c:f>
            </c:numRef>
          </c:val>
          <c:smooth val="0"/>
          <c:extLst>
            <c:ext xmlns:c16="http://schemas.microsoft.com/office/drawing/2014/chart" uri="{C3380CC4-5D6E-409C-BE32-E72D297353CC}">
              <c16:uniqueId val="{00000007-A831-445E-AD36-572045472876}"/>
            </c:ext>
          </c:extLst>
        </c:ser>
        <c:dLbls>
          <c:showLegendKey val="0"/>
          <c:showVal val="0"/>
          <c:showCatName val="0"/>
          <c:showSerName val="0"/>
          <c:showPercent val="0"/>
          <c:showBubbleSize val="0"/>
        </c:dLbls>
        <c:smooth val="0"/>
        <c:axId val="1509238000"/>
        <c:axId val="1509238480"/>
      </c:lineChart>
      <c:catAx>
        <c:axId val="1509238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480"/>
        <c:crosses val="autoZero"/>
        <c:auto val="1"/>
        <c:lblAlgn val="ctr"/>
        <c:lblOffset val="100"/>
        <c:noMultiLvlLbl val="0"/>
      </c:catAx>
      <c:valAx>
        <c:axId val="1509238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ESU</a:t>
            </a:r>
            <a:r>
              <a:rPr lang="fr-FR" baseline="0"/>
              <a:t> - Energie Solaire Utile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1'!$N$16</c:f>
            </c:strRef>
          </c:tx>
          <c:spPr>
            <a:ln w="28575" cap="rnd">
              <a:solidFill>
                <a:schemeClr val="accent1"/>
              </a:solidFill>
              <a:round/>
            </a:ln>
            <a:effectLst/>
          </c:spPr>
          <c:marker>
            <c:symbol val="none"/>
          </c:marker>
          <c:cat>
            <c:strRef>
              <c:f>'Suivi instal TYPE 1'!$C$19:$C$30</c:f>
            </c:strRef>
          </c:cat>
          <c:val>
            <c:numRef>
              <c:f>'Suivi instal TYPE 1'!$N$19:$N$30</c:f>
            </c:numRef>
          </c:val>
          <c:smooth val="0"/>
          <c:extLst>
            <c:ext xmlns:c16="http://schemas.microsoft.com/office/drawing/2014/chart" uri="{C3380CC4-5D6E-409C-BE32-E72D297353CC}">
              <c16:uniqueId val="{00000004-2DF8-4480-A619-83A631BEA657}"/>
            </c:ext>
          </c:extLst>
        </c:ser>
        <c:ser>
          <c:idx val="1"/>
          <c:order val="1"/>
          <c:tx>
            <c:strRef>
              <c:f>'Suivi instal TYPE 1'!$O$16</c:f>
            </c:strRef>
          </c:tx>
          <c:spPr>
            <a:ln w="28575" cap="rnd">
              <a:solidFill>
                <a:schemeClr val="accent2"/>
              </a:solidFill>
              <a:round/>
            </a:ln>
            <a:effectLst/>
          </c:spPr>
          <c:marker>
            <c:symbol val="none"/>
          </c:marker>
          <c:cat>
            <c:strRef>
              <c:f>'Suivi instal TYPE 1'!$C$19:$C$30</c:f>
            </c:strRef>
          </c:cat>
          <c:val>
            <c:numRef>
              <c:f>'Suivi instal TYPE 1'!$O$19:$O$30</c:f>
            </c:numRef>
          </c:val>
          <c:smooth val="0"/>
          <c:extLst>
            <c:ext xmlns:c16="http://schemas.microsoft.com/office/drawing/2014/chart" uri="{C3380CC4-5D6E-409C-BE32-E72D297353CC}">
              <c16:uniqueId val="{00000005-2DF8-4480-A619-83A631BEA657}"/>
            </c:ext>
          </c:extLst>
        </c:ser>
        <c:ser>
          <c:idx val="2"/>
          <c:order val="2"/>
          <c:tx>
            <c:strRef>
              <c:f>'Suivi instal TYPE 1'!$P$16</c:f>
            </c:strRef>
          </c:tx>
          <c:spPr>
            <a:ln w="28575" cap="rnd">
              <a:solidFill>
                <a:schemeClr val="accent3"/>
              </a:solidFill>
              <a:round/>
            </a:ln>
            <a:effectLst/>
          </c:spPr>
          <c:marker>
            <c:symbol val="none"/>
          </c:marker>
          <c:cat>
            <c:strRef>
              <c:f>'Suivi instal TYPE 1'!$C$19:$C$30</c:f>
            </c:strRef>
          </c:cat>
          <c:val>
            <c:numRef>
              <c:f>'Suivi instal TYPE 1'!$P$19:$P$30</c:f>
            </c:numRef>
          </c:val>
          <c:smooth val="0"/>
          <c:extLst>
            <c:ext xmlns:c16="http://schemas.microsoft.com/office/drawing/2014/chart" uri="{C3380CC4-5D6E-409C-BE32-E72D297353CC}">
              <c16:uniqueId val="{00000006-2DF8-4480-A619-83A631BEA657}"/>
            </c:ext>
          </c:extLst>
        </c:ser>
        <c:ser>
          <c:idx val="3"/>
          <c:order val="3"/>
          <c:tx>
            <c:strRef>
              <c:f>'Suivi instal TYPE 1'!$Q$16</c:f>
            </c:strRef>
          </c:tx>
          <c:spPr>
            <a:ln w="28575" cap="rnd">
              <a:solidFill>
                <a:schemeClr val="accent4"/>
              </a:solidFill>
              <a:round/>
            </a:ln>
            <a:effectLst/>
          </c:spPr>
          <c:marker>
            <c:symbol val="none"/>
          </c:marker>
          <c:val>
            <c:numRef>
              <c:f>'Suivi instal TYPE 1'!$Q$19:$Q$30</c:f>
            </c:numRef>
          </c:val>
          <c:smooth val="0"/>
          <c:extLst>
            <c:ext xmlns:c16="http://schemas.microsoft.com/office/drawing/2014/chart" uri="{C3380CC4-5D6E-409C-BE32-E72D297353CC}">
              <c16:uniqueId val="{00000007-2DF8-4480-A619-83A631BEA657}"/>
            </c:ext>
          </c:extLst>
        </c:ser>
        <c:dLbls>
          <c:showLegendKey val="0"/>
          <c:showVal val="0"/>
          <c:showCatName val="0"/>
          <c:showSerName val="0"/>
          <c:showPercent val="0"/>
          <c:showBubbleSize val="0"/>
        </c:dLbls>
        <c:smooth val="0"/>
        <c:axId val="1534915648"/>
        <c:axId val="1534932448"/>
      </c:lineChart>
      <c:catAx>
        <c:axId val="1534915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32448"/>
        <c:crosses val="autoZero"/>
        <c:auto val="1"/>
        <c:lblAlgn val="ctr"/>
        <c:lblOffset val="100"/>
        <c:noMultiLvlLbl val="0"/>
      </c:catAx>
      <c:valAx>
        <c:axId val="1534932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156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Volume</a:t>
            </a:r>
            <a:r>
              <a:rPr lang="fr-FR" baseline="0"/>
              <a:t> ECS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2'!$F$16</c:f>
            </c:strRef>
          </c:tx>
          <c:spPr>
            <a:ln w="28575" cap="rnd">
              <a:solidFill>
                <a:schemeClr val="accent1"/>
              </a:solidFill>
              <a:round/>
            </a:ln>
            <a:effectLst/>
          </c:spPr>
          <c:marker>
            <c:symbol val="none"/>
          </c:marker>
          <c:cat>
            <c:strRef>
              <c:f>'Suivi instal TYPE 2'!$C$19:$C$30</c:f>
            </c:strRef>
          </c:cat>
          <c:val>
            <c:numRef>
              <c:f>'Suivi instal TYPE 2'!$F$19:$F$30</c:f>
            </c:numRef>
          </c:val>
          <c:smooth val="0"/>
          <c:extLst>
            <c:ext xmlns:c16="http://schemas.microsoft.com/office/drawing/2014/chart" uri="{C3380CC4-5D6E-409C-BE32-E72D297353CC}">
              <c16:uniqueId val="{00000000-59F0-462B-AB79-BD9F9554433E}"/>
            </c:ext>
          </c:extLst>
        </c:ser>
        <c:ser>
          <c:idx val="1"/>
          <c:order val="1"/>
          <c:tx>
            <c:strRef>
              <c:f>'Suivi instal TYPE 2'!$G$16</c:f>
            </c:strRef>
          </c:tx>
          <c:spPr>
            <a:ln w="28575" cap="rnd">
              <a:solidFill>
                <a:schemeClr val="accent2"/>
              </a:solidFill>
              <a:round/>
            </a:ln>
            <a:effectLst/>
          </c:spPr>
          <c:marker>
            <c:symbol val="none"/>
          </c:marker>
          <c:cat>
            <c:strRef>
              <c:f>'Suivi instal TYPE 2'!$C$19:$C$30</c:f>
            </c:strRef>
          </c:cat>
          <c:val>
            <c:numRef>
              <c:f>'Suivi instal TYPE 2'!$G$19:$G$30</c:f>
            </c:numRef>
          </c:val>
          <c:smooth val="0"/>
          <c:extLst>
            <c:ext xmlns:c16="http://schemas.microsoft.com/office/drawing/2014/chart" uri="{C3380CC4-5D6E-409C-BE32-E72D297353CC}">
              <c16:uniqueId val="{00000001-59F0-462B-AB79-BD9F9554433E}"/>
            </c:ext>
          </c:extLst>
        </c:ser>
        <c:ser>
          <c:idx val="2"/>
          <c:order val="2"/>
          <c:tx>
            <c:strRef>
              <c:f>'Suivi instal TYPE 2'!$H$16</c:f>
            </c:strRef>
          </c:tx>
          <c:spPr>
            <a:ln w="28575" cap="rnd">
              <a:solidFill>
                <a:schemeClr val="accent3"/>
              </a:solidFill>
              <a:round/>
            </a:ln>
            <a:effectLst/>
          </c:spPr>
          <c:marker>
            <c:symbol val="none"/>
          </c:marker>
          <c:cat>
            <c:strRef>
              <c:f>'Suivi instal TYPE 2'!$C$19:$C$30</c:f>
            </c:strRef>
          </c:cat>
          <c:val>
            <c:numRef>
              <c:f>'Suivi instal TYPE 2'!$H$19:$H$30</c:f>
            </c:numRef>
          </c:val>
          <c:smooth val="0"/>
          <c:extLst>
            <c:ext xmlns:c16="http://schemas.microsoft.com/office/drawing/2014/chart" uri="{C3380CC4-5D6E-409C-BE32-E72D297353CC}">
              <c16:uniqueId val="{00000002-59F0-462B-AB79-BD9F9554433E}"/>
            </c:ext>
          </c:extLst>
        </c:ser>
        <c:ser>
          <c:idx val="3"/>
          <c:order val="3"/>
          <c:tx>
            <c:strRef>
              <c:f>'Suivi instal TYPE 2'!$I$16</c:f>
            </c:strRef>
          </c:tx>
          <c:spPr>
            <a:ln w="28575" cap="rnd">
              <a:solidFill>
                <a:schemeClr val="accent4"/>
              </a:solidFill>
              <a:round/>
            </a:ln>
            <a:effectLst/>
          </c:spPr>
          <c:marker>
            <c:symbol val="none"/>
          </c:marker>
          <c:cat>
            <c:strRef>
              <c:f>'Suivi instal TYPE 2'!$C$19:$C$30</c:f>
            </c:strRef>
          </c:cat>
          <c:val>
            <c:numRef>
              <c:f>'Suivi instal TYPE 2'!$I$19:$I$30</c:f>
            </c:numRef>
          </c:val>
          <c:smooth val="0"/>
          <c:extLst>
            <c:ext xmlns:c16="http://schemas.microsoft.com/office/drawing/2014/chart" uri="{C3380CC4-5D6E-409C-BE32-E72D297353CC}">
              <c16:uniqueId val="{00000003-59F0-462B-AB79-BD9F9554433E}"/>
            </c:ext>
          </c:extLst>
        </c:ser>
        <c:dLbls>
          <c:showLegendKey val="0"/>
          <c:showVal val="0"/>
          <c:showCatName val="0"/>
          <c:showSerName val="0"/>
          <c:showPercent val="0"/>
          <c:showBubbleSize val="0"/>
        </c:dLbls>
        <c:smooth val="0"/>
        <c:axId val="1509238000"/>
        <c:axId val="1509238480"/>
      </c:lineChart>
      <c:catAx>
        <c:axId val="1509238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480"/>
        <c:crosses val="autoZero"/>
        <c:auto val="1"/>
        <c:lblAlgn val="ctr"/>
        <c:lblOffset val="100"/>
        <c:noMultiLvlLbl val="0"/>
      </c:catAx>
      <c:valAx>
        <c:axId val="1509238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ESU</a:t>
            </a:r>
            <a:r>
              <a:rPr lang="fr-FR" baseline="0"/>
              <a:t> - Energie Solaire Utile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2'!$N$16</c:f>
            </c:strRef>
          </c:tx>
          <c:spPr>
            <a:ln w="28575" cap="rnd">
              <a:solidFill>
                <a:schemeClr val="accent1"/>
              </a:solidFill>
              <a:round/>
            </a:ln>
            <a:effectLst/>
          </c:spPr>
          <c:marker>
            <c:symbol val="none"/>
          </c:marker>
          <c:cat>
            <c:strRef>
              <c:f>'Suivi instal TYPE 2'!$C$19:$C$30</c:f>
            </c:strRef>
          </c:cat>
          <c:val>
            <c:numRef>
              <c:f>'Suivi instal TYPE 2'!$N$19:$N$30</c:f>
            </c:numRef>
          </c:val>
          <c:smooth val="0"/>
          <c:extLst>
            <c:ext xmlns:c16="http://schemas.microsoft.com/office/drawing/2014/chart" uri="{C3380CC4-5D6E-409C-BE32-E72D297353CC}">
              <c16:uniqueId val="{00000000-0845-4410-92B3-E1BADF100870}"/>
            </c:ext>
          </c:extLst>
        </c:ser>
        <c:ser>
          <c:idx val="1"/>
          <c:order val="1"/>
          <c:tx>
            <c:strRef>
              <c:f>'Suivi instal TYPE 2'!$O$16</c:f>
            </c:strRef>
          </c:tx>
          <c:spPr>
            <a:ln w="28575" cap="rnd">
              <a:solidFill>
                <a:schemeClr val="accent2"/>
              </a:solidFill>
              <a:round/>
            </a:ln>
            <a:effectLst/>
          </c:spPr>
          <c:marker>
            <c:symbol val="none"/>
          </c:marker>
          <c:cat>
            <c:strRef>
              <c:f>'Suivi instal TYPE 2'!$C$19:$C$30</c:f>
            </c:strRef>
          </c:cat>
          <c:val>
            <c:numRef>
              <c:f>'Suivi instal TYPE 2'!$O$19:$O$30</c:f>
            </c:numRef>
          </c:val>
          <c:smooth val="0"/>
          <c:extLst>
            <c:ext xmlns:c16="http://schemas.microsoft.com/office/drawing/2014/chart" uri="{C3380CC4-5D6E-409C-BE32-E72D297353CC}">
              <c16:uniqueId val="{00000001-0845-4410-92B3-E1BADF100870}"/>
            </c:ext>
          </c:extLst>
        </c:ser>
        <c:ser>
          <c:idx val="2"/>
          <c:order val="2"/>
          <c:tx>
            <c:strRef>
              <c:f>'Suivi instal TYPE 2'!$P$16</c:f>
            </c:strRef>
          </c:tx>
          <c:spPr>
            <a:ln w="28575" cap="rnd">
              <a:solidFill>
                <a:schemeClr val="accent3"/>
              </a:solidFill>
              <a:round/>
            </a:ln>
            <a:effectLst/>
          </c:spPr>
          <c:marker>
            <c:symbol val="none"/>
          </c:marker>
          <c:cat>
            <c:strRef>
              <c:f>'Suivi instal TYPE 2'!$C$19:$C$30</c:f>
            </c:strRef>
          </c:cat>
          <c:val>
            <c:numRef>
              <c:f>'Suivi instal TYPE 2'!$P$19:$P$30</c:f>
            </c:numRef>
          </c:val>
          <c:smooth val="0"/>
          <c:extLst>
            <c:ext xmlns:c16="http://schemas.microsoft.com/office/drawing/2014/chart" uri="{C3380CC4-5D6E-409C-BE32-E72D297353CC}">
              <c16:uniqueId val="{00000002-0845-4410-92B3-E1BADF100870}"/>
            </c:ext>
          </c:extLst>
        </c:ser>
        <c:ser>
          <c:idx val="3"/>
          <c:order val="3"/>
          <c:tx>
            <c:strRef>
              <c:f>'Suivi instal TYPE 2'!$R$16</c:f>
            </c:strRef>
          </c:tx>
          <c:spPr>
            <a:ln w="28575" cap="rnd">
              <a:solidFill>
                <a:schemeClr val="accent4"/>
              </a:solidFill>
              <a:round/>
            </a:ln>
            <a:effectLst/>
          </c:spPr>
          <c:marker>
            <c:symbol val="none"/>
          </c:marker>
          <c:cat>
            <c:strRef>
              <c:f>'Suivi instal TYPE 2'!$C$19:$C$30</c:f>
            </c:strRef>
          </c:cat>
          <c:val>
            <c:numRef>
              <c:f>'Suivi instal TYPE 2'!$R$19:$R$30</c:f>
            </c:numRef>
          </c:val>
          <c:smooth val="0"/>
          <c:extLst>
            <c:ext xmlns:c16="http://schemas.microsoft.com/office/drawing/2014/chart" uri="{C3380CC4-5D6E-409C-BE32-E72D297353CC}">
              <c16:uniqueId val="{00000003-0845-4410-92B3-E1BADF100870}"/>
            </c:ext>
          </c:extLst>
        </c:ser>
        <c:dLbls>
          <c:showLegendKey val="0"/>
          <c:showVal val="0"/>
          <c:showCatName val="0"/>
          <c:showSerName val="0"/>
          <c:showPercent val="0"/>
          <c:showBubbleSize val="0"/>
        </c:dLbls>
        <c:smooth val="0"/>
        <c:axId val="1534915648"/>
        <c:axId val="1534932448"/>
      </c:lineChart>
      <c:catAx>
        <c:axId val="1534915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32448"/>
        <c:crosses val="autoZero"/>
        <c:auto val="1"/>
        <c:lblAlgn val="ctr"/>
        <c:lblOffset val="100"/>
        <c:noMultiLvlLbl val="0"/>
      </c:catAx>
      <c:valAx>
        <c:axId val="1534932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156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Volume</a:t>
            </a:r>
            <a:r>
              <a:rPr lang="fr-FR" baseline="0"/>
              <a:t> ECS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3'!$F$16</c:f>
            </c:strRef>
          </c:tx>
          <c:spPr>
            <a:ln w="28575" cap="rnd">
              <a:solidFill>
                <a:schemeClr val="accent1"/>
              </a:solidFill>
              <a:round/>
            </a:ln>
            <a:effectLst/>
          </c:spPr>
          <c:marker>
            <c:symbol val="none"/>
          </c:marker>
          <c:cat>
            <c:strRef>
              <c:f>'Suivi instal TYPE 3'!$C$19:$C$30</c:f>
            </c:strRef>
          </c:cat>
          <c:val>
            <c:numRef>
              <c:f>'Suivi instal TYPE 3'!$F$19:$F$30</c:f>
            </c:numRef>
          </c:val>
          <c:smooth val="0"/>
          <c:extLst>
            <c:ext xmlns:c16="http://schemas.microsoft.com/office/drawing/2014/chart" uri="{C3380CC4-5D6E-409C-BE32-E72D297353CC}">
              <c16:uniqueId val="{00000000-10CE-4687-BBF9-43E3013A9034}"/>
            </c:ext>
          </c:extLst>
        </c:ser>
        <c:ser>
          <c:idx val="1"/>
          <c:order val="1"/>
          <c:tx>
            <c:strRef>
              <c:f>'Suivi instal TYPE 3'!$G$16</c:f>
            </c:strRef>
          </c:tx>
          <c:spPr>
            <a:ln w="28575" cap="rnd">
              <a:solidFill>
                <a:schemeClr val="accent2"/>
              </a:solidFill>
              <a:round/>
            </a:ln>
            <a:effectLst/>
          </c:spPr>
          <c:marker>
            <c:symbol val="none"/>
          </c:marker>
          <c:cat>
            <c:strRef>
              <c:f>'Suivi instal TYPE 3'!$C$19:$C$30</c:f>
            </c:strRef>
          </c:cat>
          <c:val>
            <c:numRef>
              <c:f>'Suivi instal TYPE 3'!$G$19:$G$30</c:f>
            </c:numRef>
          </c:val>
          <c:smooth val="0"/>
          <c:extLst>
            <c:ext xmlns:c16="http://schemas.microsoft.com/office/drawing/2014/chart" uri="{C3380CC4-5D6E-409C-BE32-E72D297353CC}">
              <c16:uniqueId val="{00000001-10CE-4687-BBF9-43E3013A9034}"/>
            </c:ext>
          </c:extLst>
        </c:ser>
        <c:ser>
          <c:idx val="2"/>
          <c:order val="2"/>
          <c:tx>
            <c:strRef>
              <c:f>'Suivi instal TYPE 3'!$H$16</c:f>
            </c:strRef>
          </c:tx>
          <c:spPr>
            <a:ln w="28575" cap="rnd">
              <a:solidFill>
                <a:schemeClr val="accent3"/>
              </a:solidFill>
              <a:round/>
            </a:ln>
            <a:effectLst/>
          </c:spPr>
          <c:marker>
            <c:symbol val="none"/>
          </c:marker>
          <c:cat>
            <c:strRef>
              <c:f>'Suivi instal TYPE 3'!$C$19:$C$30</c:f>
            </c:strRef>
          </c:cat>
          <c:val>
            <c:numRef>
              <c:f>'Suivi instal TYPE 3'!$H$19:$H$30</c:f>
            </c:numRef>
          </c:val>
          <c:smooth val="0"/>
          <c:extLst>
            <c:ext xmlns:c16="http://schemas.microsoft.com/office/drawing/2014/chart" uri="{C3380CC4-5D6E-409C-BE32-E72D297353CC}">
              <c16:uniqueId val="{00000002-10CE-4687-BBF9-43E3013A9034}"/>
            </c:ext>
          </c:extLst>
        </c:ser>
        <c:ser>
          <c:idx val="3"/>
          <c:order val="3"/>
          <c:tx>
            <c:strRef>
              <c:f>'Suivi instal TYPE 3'!$I$16</c:f>
            </c:strRef>
          </c:tx>
          <c:spPr>
            <a:ln w="28575" cap="rnd">
              <a:solidFill>
                <a:schemeClr val="accent4"/>
              </a:solidFill>
              <a:round/>
            </a:ln>
            <a:effectLst/>
          </c:spPr>
          <c:marker>
            <c:symbol val="none"/>
          </c:marker>
          <c:cat>
            <c:strRef>
              <c:f>'Suivi instal TYPE 3'!$C$19:$C$30</c:f>
            </c:strRef>
          </c:cat>
          <c:val>
            <c:numRef>
              <c:f>'Suivi instal TYPE 3'!$I$19:$I$30</c:f>
            </c:numRef>
          </c:val>
          <c:smooth val="0"/>
          <c:extLst>
            <c:ext xmlns:c16="http://schemas.microsoft.com/office/drawing/2014/chart" uri="{C3380CC4-5D6E-409C-BE32-E72D297353CC}">
              <c16:uniqueId val="{00000003-10CE-4687-BBF9-43E3013A9034}"/>
            </c:ext>
          </c:extLst>
        </c:ser>
        <c:dLbls>
          <c:showLegendKey val="0"/>
          <c:showVal val="0"/>
          <c:showCatName val="0"/>
          <c:showSerName val="0"/>
          <c:showPercent val="0"/>
          <c:showBubbleSize val="0"/>
        </c:dLbls>
        <c:smooth val="0"/>
        <c:axId val="1509238000"/>
        <c:axId val="1509238480"/>
      </c:lineChart>
      <c:catAx>
        <c:axId val="1509238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480"/>
        <c:crosses val="autoZero"/>
        <c:auto val="1"/>
        <c:lblAlgn val="ctr"/>
        <c:lblOffset val="100"/>
        <c:noMultiLvlLbl val="0"/>
      </c:catAx>
      <c:valAx>
        <c:axId val="1509238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ESU</a:t>
            </a:r>
            <a:r>
              <a:rPr lang="fr-FR" baseline="0"/>
              <a:t> - Energie Solaire Utile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3'!$M$16</c:f>
            </c:strRef>
          </c:tx>
          <c:spPr>
            <a:ln w="28575" cap="rnd">
              <a:solidFill>
                <a:schemeClr val="accent1"/>
              </a:solidFill>
              <a:round/>
            </a:ln>
            <a:effectLst/>
          </c:spPr>
          <c:marker>
            <c:symbol val="none"/>
          </c:marker>
          <c:cat>
            <c:strRef>
              <c:f>'Suivi instal TYPE 3'!$C$19:$C$30</c:f>
            </c:strRef>
          </c:cat>
          <c:val>
            <c:numRef>
              <c:f>'Suivi instal TYPE 3'!$M$19:$M$30</c:f>
            </c:numRef>
          </c:val>
          <c:smooth val="0"/>
          <c:extLst>
            <c:ext xmlns:c16="http://schemas.microsoft.com/office/drawing/2014/chart" uri="{C3380CC4-5D6E-409C-BE32-E72D297353CC}">
              <c16:uniqueId val="{00000000-BD45-4579-B605-8E0FF7EEC18F}"/>
            </c:ext>
          </c:extLst>
        </c:ser>
        <c:ser>
          <c:idx val="1"/>
          <c:order val="1"/>
          <c:tx>
            <c:strRef>
              <c:f>'Suivi instal TYPE 3'!$N$16</c:f>
            </c:strRef>
          </c:tx>
          <c:spPr>
            <a:ln w="28575" cap="rnd">
              <a:solidFill>
                <a:schemeClr val="accent2"/>
              </a:solidFill>
              <a:round/>
            </a:ln>
            <a:effectLst/>
          </c:spPr>
          <c:marker>
            <c:symbol val="none"/>
          </c:marker>
          <c:cat>
            <c:strRef>
              <c:f>'Suivi instal TYPE 3'!$C$19:$C$30</c:f>
            </c:strRef>
          </c:cat>
          <c:val>
            <c:numRef>
              <c:f>'Suivi instal TYPE 3'!$N$19:$N$30</c:f>
            </c:numRef>
          </c:val>
          <c:smooth val="0"/>
          <c:extLst>
            <c:ext xmlns:c16="http://schemas.microsoft.com/office/drawing/2014/chart" uri="{C3380CC4-5D6E-409C-BE32-E72D297353CC}">
              <c16:uniqueId val="{00000001-BD45-4579-B605-8E0FF7EEC18F}"/>
            </c:ext>
          </c:extLst>
        </c:ser>
        <c:ser>
          <c:idx val="2"/>
          <c:order val="2"/>
          <c:tx>
            <c:strRef>
              <c:f>'Suivi instal TYPE 3'!$O$16</c:f>
            </c:strRef>
          </c:tx>
          <c:spPr>
            <a:ln w="28575" cap="rnd">
              <a:solidFill>
                <a:schemeClr val="accent3"/>
              </a:solidFill>
              <a:round/>
            </a:ln>
            <a:effectLst/>
          </c:spPr>
          <c:marker>
            <c:symbol val="none"/>
          </c:marker>
          <c:cat>
            <c:strRef>
              <c:f>'Suivi instal TYPE 3'!$C$19:$C$30</c:f>
            </c:strRef>
          </c:cat>
          <c:val>
            <c:numRef>
              <c:f>'Suivi instal TYPE 3'!$O$19:$O$30</c:f>
            </c:numRef>
          </c:val>
          <c:smooth val="0"/>
          <c:extLst>
            <c:ext xmlns:c16="http://schemas.microsoft.com/office/drawing/2014/chart" uri="{C3380CC4-5D6E-409C-BE32-E72D297353CC}">
              <c16:uniqueId val="{00000002-BD45-4579-B605-8E0FF7EEC18F}"/>
            </c:ext>
          </c:extLst>
        </c:ser>
        <c:ser>
          <c:idx val="3"/>
          <c:order val="3"/>
          <c:tx>
            <c:strRef>
              <c:f>'Suivi instal TYPE 3'!$V$16</c:f>
            </c:strRef>
          </c:tx>
          <c:spPr>
            <a:ln w="28575" cap="rnd">
              <a:solidFill>
                <a:schemeClr val="accent4"/>
              </a:solidFill>
              <a:round/>
            </a:ln>
            <a:effectLst/>
          </c:spPr>
          <c:marker>
            <c:symbol val="none"/>
          </c:marker>
          <c:cat>
            <c:strRef>
              <c:f>'Suivi instal TYPE 3'!$C$19:$C$30</c:f>
            </c:strRef>
          </c:cat>
          <c:val>
            <c:numRef>
              <c:f>'Suivi instal TYPE 3'!$V$19:$V$30</c:f>
            </c:numRef>
          </c:val>
          <c:smooth val="0"/>
          <c:extLst>
            <c:ext xmlns:c16="http://schemas.microsoft.com/office/drawing/2014/chart" uri="{C3380CC4-5D6E-409C-BE32-E72D297353CC}">
              <c16:uniqueId val="{00000003-BD45-4579-B605-8E0FF7EEC18F}"/>
            </c:ext>
          </c:extLst>
        </c:ser>
        <c:dLbls>
          <c:showLegendKey val="0"/>
          <c:showVal val="0"/>
          <c:showCatName val="0"/>
          <c:showSerName val="0"/>
          <c:showPercent val="0"/>
          <c:showBubbleSize val="0"/>
        </c:dLbls>
        <c:smooth val="0"/>
        <c:axId val="1534915648"/>
        <c:axId val="1534932448"/>
      </c:lineChart>
      <c:catAx>
        <c:axId val="1534915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32448"/>
        <c:crosses val="autoZero"/>
        <c:auto val="1"/>
        <c:lblAlgn val="ctr"/>
        <c:lblOffset val="100"/>
        <c:noMultiLvlLbl val="0"/>
      </c:catAx>
      <c:valAx>
        <c:axId val="1534932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349156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Volume</a:t>
            </a:r>
            <a:r>
              <a:rPr lang="fr-FR" baseline="0"/>
              <a:t> ECS</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'Suivi instal TYPE 4'!$F$13</c:f>
            </c:strRef>
          </c:tx>
          <c:spPr>
            <a:ln w="28575" cap="rnd">
              <a:solidFill>
                <a:schemeClr val="accent1"/>
              </a:solidFill>
              <a:round/>
            </a:ln>
            <a:effectLst/>
          </c:spPr>
          <c:marker>
            <c:symbol val="none"/>
          </c:marker>
          <c:cat>
            <c:strRef>
              <c:f>'Suivi instal TYPE 4'!$C$16:$C$27</c:f>
            </c:strRef>
          </c:cat>
          <c:val>
            <c:numRef>
              <c:f>'Suivi instal TYPE 4'!$F$16:$F$27</c:f>
            </c:numRef>
          </c:val>
          <c:smooth val="0"/>
          <c:extLst>
            <c:ext xmlns:c16="http://schemas.microsoft.com/office/drawing/2014/chart" uri="{C3380CC4-5D6E-409C-BE32-E72D297353CC}">
              <c16:uniqueId val="{00000000-C3DA-4B0D-81E9-5F8E1AFAFF49}"/>
            </c:ext>
          </c:extLst>
        </c:ser>
        <c:ser>
          <c:idx val="1"/>
          <c:order val="1"/>
          <c:tx>
            <c:strRef>
              <c:f>'Suivi instal TYPE 4'!$G$13</c:f>
            </c:strRef>
          </c:tx>
          <c:spPr>
            <a:ln w="28575" cap="rnd">
              <a:solidFill>
                <a:schemeClr val="accent2"/>
              </a:solidFill>
              <a:round/>
            </a:ln>
            <a:effectLst/>
          </c:spPr>
          <c:marker>
            <c:symbol val="none"/>
          </c:marker>
          <c:cat>
            <c:strRef>
              <c:f>'Suivi instal TYPE 4'!$C$16:$C$27</c:f>
            </c:strRef>
          </c:cat>
          <c:val>
            <c:numRef>
              <c:f>'Suivi instal TYPE 4'!$G$16:$G$27</c:f>
            </c:numRef>
          </c:val>
          <c:smooth val="0"/>
          <c:extLst>
            <c:ext xmlns:c16="http://schemas.microsoft.com/office/drawing/2014/chart" uri="{C3380CC4-5D6E-409C-BE32-E72D297353CC}">
              <c16:uniqueId val="{00000001-C3DA-4B0D-81E9-5F8E1AFAFF49}"/>
            </c:ext>
          </c:extLst>
        </c:ser>
        <c:ser>
          <c:idx val="2"/>
          <c:order val="2"/>
          <c:tx>
            <c:strRef>
              <c:f>'Suivi instal TYPE 4'!$H$13</c:f>
            </c:strRef>
          </c:tx>
          <c:spPr>
            <a:ln w="28575" cap="rnd">
              <a:solidFill>
                <a:schemeClr val="accent3"/>
              </a:solidFill>
              <a:round/>
            </a:ln>
            <a:effectLst/>
          </c:spPr>
          <c:marker>
            <c:symbol val="none"/>
          </c:marker>
          <c:cat>
            <c:strRef>
              <c:f>'Suivi instal TYPE 4'!$C$16:$C$27</c:f>
            </c:strRef>
          </c:cat>
          <c:val>
            <c:numRef>
              <c:f>'Suivi instal TYPE 4'!$H$16:$H$27</c:f>
            </c:numRef>
          </c:val>
          <c:smooth val="0"/>
          <c:extLst>
            <c:ext xmlns:c16="http://schemas.microsoft.com/office/drawing/2014/chart" uri="{C3380CC4-5D6E-409C-BE32-E72D297353CC}">
              <c16:uniqueId val="{00000002-C3DA-4B0D-81E9-5F8E1AFAFF49}"/>
            </c:ext>
          </c:extLst>
        </c:ser>
        <c:ser>
          <c:idx val="3"/>
          <c:order val="3"/>
          <c:tx>
            <c:strRef>
              <c:f>'Suivi instal TYPE 4'!$I$13</c:f>
            </c:strRef>
          </c:tx>
          <c:spPr>
            <a:ln w="28575" cap="rnd">
              <a:solidFill>
                <a:schemeClr val="accent4"/>
              </a:solidFill>
              <a:round/>
            </a:ln>
            <a:effectLst/>
          </c:spPr>
          <c:marker>
            <c:symbol val="none"/>
          </c:marker>
          <c:cat>
            <c:strRef>
              <c:f>'Suivi instal TYPE 4'!$C$16:$C$27</c:f>
            </c:strRef>
          </c:cat>
          <c:val>
            <c:numRef>
              <c:f>'Suivi instal TYPE 4'!$I$16:$I$27</c:f>
            </c:numRef>
          </c:val>
          <c:smooth val="0"/>
          <c:extLst>
            <c:ext xmlns:c16="http://schemas.microsoft.com/office/drawing/2014/chart" uri="{C3380CC4-5D6E-409C-BE32-E72D297353CC}">
              <c16:uniqueId val="{00000003-C3DA-4B0D-81E9-5F8E1AFAFF49}"/>
            </c:ext>
          </c:extLst>
        </c:ser>
        <c:dLbls>
          <c:showLegendKey val="0"/>
          <c:showVal val="0"/>
          <c:showCatName val="0"/>
          <c:showSerName val="0"/>
          <c:showPercent val="0"/>
          <c:showBubbleSize val="0"/>
        </c:dLbls>
        <c:smooth val="0"/>
        <c:axId val="1509238000"/>
        <c:axId val="1509238480"/>
      </c:lineChart>
      <c:catAx>
        <c:axId val="1509238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480"/>
        <c:crosses val="autoZero"/>
        <c:auto val="1"/>
        <c:lblAlgn val="ctr"/>
        <c:lblOffset val="100"/>
        <c:noMultiLvlLbl val="0"/>
      </c:catAx>
      <c:valAx>
        <c:axId val="1509238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09238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emf"/><Relationship Id="rId1" Type="http://schemas.openxmlformats.org/officeDocument/2006/relationships/image" Target="../media/image6.emf"/><Relationship Id="rId5" Type="http://schemas.openxmlformats.org/officeDocument/2006/relationships/image" Target="../media/image10.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Relationships xmlns="http://schemas.openxmlformats.org/package/2006/relationships"><Relationship Id="rId1" Type="http://schemas.openxmlformats.org/officeDocument/2006/relationships/hyperlink" Target="https://schematheque.opthelios.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1343025</xdr:colOff>
      <xdr:row>17</xdr:row>
      <xdr:rowOff>66675</xdr:rowOff>
    </xdr:from>
    <xdr:to>
      <xdr:col>0</xdr:col>
      <xdr:colOff>8001000</xdr:colOff>
      <xdr:row>19</xdr:row>
      <xdr:rowOff>9525</xdr:rowOff>
    </xdr:to>
    <xdr:pic>
      <xdr:nvPicPr>
        <xdr:cNvPr id="2" name="Image 1">
          <a:extLst>
            <a:ext uri="{FF2B5EF4-FFF2-40B4-BE49-F238E27FC236}">
              <a16:creationId xmlns:a16="http://schemas.microsoft.com/office/drawing/2014/main" id="{58C6438E-94A6-B573-FC0A-0D7DFAF8A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025" y="4638675"/>
          <a:ext cx="6657975"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36</xdr:row>
      <xdr:rowOff>0</xdr:rowOff>
    </xdr:from>
    <xdr:to>
      <xdr:col>0</xdr:col>
      <xdr:colOff>304800</xdr:colOff>
      <xdr:row>37</xdr:row>
      <xdr:rowOff>123825</xdr:rowOff>
    </xdr:to>
    <xdr:sp macro="" textlink="">
      <xdr:nvSpPr>
        <xdr:cNvPr id="2" name="AutoShape 1" descr="Aperçu de l’image">
          <a:extLst>
            <a:ext uri="{FF2B5EF4-FFF2-40B4-BE49-F238E27FC236}">
              <a16:creationId xmlns:a16="http://schemas.microsoft.com/office/drawing/2014/main" id="{02EE4AD2-B3AB-40E1-8175-351931BFB9A8}"/>
            </a:ext>
          </a:extLst>
        </xdr:cNvPr>
        <xdr:cNvSpPr>
          <a:spLocks noChangeAspect="1" noChangeArrowheads="1"/>
        </xdr:cNvSpPr>
      </xdr:nvSpPr>
      <xdr:spPr bwMode="auto">
        <a:xfrm>
          <a:off x="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36</xdr:row>
      <xdr:rowOff>0</xdr:rowOff>
    </xdr:from>
    <xdr:to>
      <xdr:col>8</xdr:col>
      <xdr:colOff>190500</xdr:colOff>
      <xdr:row>80</xdr:row>
      <xdr:rowOff>104775</xdr:rowOff>
    </xdr:to>
    <xdr:pic>
      <xdr:nvPicPr>
        <xdr:cNvPr id="3" name="Image 2">
          <a:extLst>
            <a:ext uri="{FF2B5EF4-FFF2-40B4-BE49-F238E27FC236}">
              <a16:creationId xmlns:a16="http://schemas.microsoft.com/office/drawing/2014/main" id="{4C91A4CE-3FE9-4114-9F88-291745EDA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33650"/>
          <a:ext cx="6286500" cy="806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180975</xdr:colOff>
      <xdr:row>35</xdr:row>
      <xdr:rowOff>171449</xdr:rowOff>
    </xdr:from>
    <xdr:to>
      <xdr:col>15</xdr:col>
      <xdr:colOff>485397</xdr:colOff>
      <xdr:row>80</xdr:row>
      <xdr:rowOff>95249</xdr:rowOff>
    </xdr:to>
    <xdr:pic>
      <xdr:nvPicPr>
        <xdr:cNvPr id="4" name="Image 3">
          <a:extLst>
            <a:ext uri="{FF2B5EF4-FFF2-40B4-BE49-F238E27FC236}">
              <a16:creationId xmlns:a16="http://schemas.microsoft.com/office/drawing/2014/main" id="{2CEF14A2-5B53-4963-B4DC-D794256C20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76975" y="2524124"/>
          <a:ext cx="5638422" cy="806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500062</xdr:colOff>
      <xdr:row>36</xdr:row>
      <xdr:rowOff>14286</xdr:rowOff>
    </xdr:from>
    <xdr:to>
      <xdr:col>23</xdr:col>
      <xdr:colOff>405069</xdr:colOff>
      <xdr:row>80</xdr:row>
      <xdr:rowOff>119061</xdr:rowOff>
    </xdr:to>
    <xdr:pic>
      <xdr:nvPicPr>
        <xdr:cNvPr id="5" name="Image 4">
          <a:extLst>
            <a:ext uri="{FF2B5EF4-FFF2-40B4-BE49-F238E27FC236}">
              <a16:creationId xmlns:a16="http://schemas.microsoft.com/office/drawing/2014/main" id="{52A2B7BD-D305-43FF-A522-3C2EBD5A04D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930062" y="6543674"/>
          <a:ext cx="6001007" cy="806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390524</xdr:colOff>
      <xdr:row>14</xdr:row>
      <xdr:rowOff>0</xdr:rowOff>
    </xdr:from>
    <xdr:to>
      <xdr:col>31</xdr:col>
      <xdr:colOff>342899</xdr:colOff>
      <xdr:row>17</xdr:row>
      <xdr:rowOff>142721</xdr:rowOff>
    </xdr:to>
    <xdr:pic>
      <xdr:nvPicPr>
        <xdr:cNvPr id="6" name="Image 5">
          <a:extLst>
            <a:ext uri="{FF2B5EF4-FFF2-40B4-BE49-F238E27FC236}">
              <a16:creationId xmlns:a16="http://schemas.microsoft.com/office/drawing/2014/main" id="{2C7C6677-7D58-46D8-842D-C23BF8AF3B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16524" y="2533650"/>
          <a:ext cx="6048375" cy="685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xdr:row>
      <xdr:rowOff>246592</xdr:rowOff>
    </xdr:from>
    <xdr:to>
      <xdr:col>0</xdr:col>
      <xdr:colOff>246380</xdr:colOff>
      <xdr:row>13</xdr:row>
      <xdr:rowOff>495512</xdr:rowOff>
    </xdr:to>
    <xdr:grpSp>
      <xdr:nvGrpSpPr>
        <xdr:cNvPr id="2" name="Group 21524">
          <a:extLst>
            <a:ext uri="{FF2B5EF4-FFF2-40B4-BE49-F238E27FC236}">
              <a16:creationId xmlns:a16="http://schemas.microsoft.com/office/drawing/2014/main" id="{DC408CB8-C579-A1C5-243F-E722300C9CF6}"/>
            </a:ext>
          </a:extLst>
        </xdr:cNvPr>
        <xdr:cNvGrpSpPr/>
      </xdr:nvGrpSpPr>
      <xdr:grpSpPr>
        <a:xfrm>
          <a:off x="0" y="2823634"/>
          <a:ext cx="246380" cy="248920"/>
          <a:chOff x="0" y="0"/>
          <a:chExt cx="163830" cy="177800"/>
        </a:xfrm>
      </xdr:grpSpPr>
      <xdr:sp macro="" textlink="">
        <xdr:nvSpPr>
          <xdr:cNvPr id="3" name="Shape 1629">
            <a:extLst>
              <a:ext uri="{FF2B5EF4-FFF2-40B4-BE49-F238E27FC236}">
                <a16:creationId xmlns:a16="http://schemas.microsoft.com/office/drawing/2014/main" id="{8084EA00-E0BB-186D-2629-25CB7F9CE532}"/>
              </a:ext>
            </a:extLst>
          </xdr:cNvPr>
          <xdr:cNvSpPr/>
        </xdr:nvSpPr>
        <xdr:spPr>
          <a:xfrm>
            <a:off x="0" y="0"/>
            <a:ext cx="163830" cy="177800"/>
          </a:xfrm>
          <a:custGeom>
            <a:avLst/>
            <a:gdLst/>
            <a:ahLst/>
            <a:cxnLst/>
            <a:rect l="0" t="0" r="0" b="0"/>
            <a:pathLst>
              <a:path w="163830" h="177800">
                <a:moveTo>
                  <a:pt x="81915" y="0"/>
                </a:moveTo>
                <a:cubicBezTo>
                  <a:pt x="36703" y="0"/>
                  <a:pt x="0" y="39751"/>
                  <a:pt x="0" y="88900"/>
                </a:cubicBezTo>
                <a:cubicBezTo>
                  <a:pt x="0" y="138049"/>
                  <a:pt x="36703" y="177800"/>
                  <a:pt x="81915" y="177800"/>
                </a:cubicBezTo>
                <a:cubicBezTo>
                  <a:pt x="127127" y="177800"/>
                  <a:pt x="163830" y="138049"/>
                  <a:pt x="163830" y="88900"/>
                </a:cubicBezTo>
                <a:cubicBezTo>
                  <a:pt x="163830" y="39751"/>
                  <a:pt x="127127" y="0"/>
                  <a:pt x="81915" y="0"/>
                </a:cubicBezTo>
                <a:close/>
              </a:path>
            </a:pathLst>
          </a:custGeom>
          <a:ln w="9525" cap="rnd">
            <a:round/>
          </a:ln>
        </xdr:spPr>
        <xdr:style>
          <a:lnRef idx="1">
            <a:srgbClr val="000000"/>
          </a:lnRef>
          <a:fillRef idx="0">
            <a:srgbClr val="000000">
              <a:alpha val="0"/>
            </a:srgbClr>
          </a:fillRef>
          <a:effectRef idx="0">
            <a:scrgbClr r="0" g="0" b="0"/>
          </a:effectRef>
          <a:fontRef idx="none"/>
        </xdr:style>
        <xdr:txBody>
          <a:bodyPr/>
          <a:lstStyle/>
          <a:p>
            <a:endParaRPr lang="fr-FR"/>
          </a:p>
        </xdr:txBody>
      </xdr:sp>
    </xdr:grpSp>
    <xdr:clientData/>
  </xdr:twoCellAnchor>
  <xdr:twoCellAnchor editAs="oneCell">
    <xdr:from>
      <xdr:col>4</xdr:col>
      <xdr:colOff>266700</xdr:colOff>
      <xdr:row>5</xdr:row>
      <xdr:rowOff>68959</xdr:rowOff>
    </xdr:from>
    <xdr:to>
      <xdr:col>4</xdr:col>
      <xdr:colOff>4095750</xdr:colOff>
      <xdr:row>15</xdr:row>
      <xdr:rowOff>65087</xdr:rowOff>
    </xdr:to>
    <xdr:pic>
      <xdr:nvPicPr>
        <xdr:cNvPr id="132" name="Image 131">
          <a:extLst>
            <a:ext uri="{FF2B5EF4-FFF2-40B4-BE49-F238E27FC236}">
              <a16:creationId xmlns:a16="http://schemas.microsoft.com/office/drawing/2014/main" id="{DC1E50B8-0110-F85C-6442-E5A1FA0135B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723" t="20663" r="21383" b="-363"/>
        <a:stretch/>
      </xdr:blipFill>
      <xdr:spPr bwMode="auto">
        <a:xfrm>
          <a:off x="15106650" y="1021459"/>
          <a:ext cx="3829050" cy="2407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3</xdr:row>
      <xdr:rowOff>114300</xdr:rowOff>
    </xdr:from>
    <xdr:to>
      <xdr:col>2</xdr:col>
      <xdr:colOff>6134100</xdr:colOff>
      <xdr:row>13</xdr:row>
      <xdr:rowOff>476250</xdr:rowOff>
    </xdr:to>
    <xdr:pic>
      <xdr:nvPicPr>
        <xdr:cNvPr id="133" name="Image 132">
          <a:extLst>
            <a:ext uri="{FF2B5EF4-FFF2-40B4-BE49-F238E27FC236}">
              <a16:creationId xmlns:a16="http://schemas.microsoft.com/office/drawing/2014/main" id="{FF65FD52-7FE7-CB3B-7AD4-E5772C615AA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4286" t="26549"/>
        <a:stretch/>
      </xdr:blipFill>
      <xdr:spPr bwMode="auto">
        <a:xfrm>
          <a:off x="7943850" y="685800"/>
          <a:ext cx="6115050" cy="237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1273968</xdr:colOff>
      <xdr:row>4</xdr:row>
      <xdr:rowOff>47625</xdr:rowOff>
    </xdr:from>
    <xdr:to>
      <xdr:col>6</xdr:col>
      <xdr:colOff>5599965</xdr:colOff>
      <xdr:row>14</xdr:row>
      <xdr:rowOff>49098</xdr:rowOff>
    </xdr:to>
    <xdr:pic>
      <xdr:nvPicPr>
        <xdr:cNvPr id="6" name="Image 5">
          <a:extLst>
            <a:ext uri="{FF2B5EF4-FFF2-40B4-BE49-F238E27FC236}">
              <a16:creationId xmlns:a16="http://schemas.microsoft.com/office/drawing/2014/main" id="{A05E6B86-27C6-9B72-C6E3-DBAA434E60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2800468" y="797719"/>
          <a:ext cx="4325997" cy="2366055"/>
        </a:xfrm>
        <a:prstGeom prst="rect">
          <a:avLst/>
        </a:prstGeom>
      </xdr:spPr>
    </xdr:pic>
    <xdr:clientData/>
  </xdr:twoCellAnchor>
  <xdr:twoCellAnchor>
    <xdr:from>
      <xdr:col>8</xdr:col>
      <xdr:colOff>690561</xdr:colOff>
      <xdr:row>4</xdr:row>
      <xdr:rowOff>55563</xdr:rowOff>
    </xdr:from>
    <xdr:to>
      <xdr:col>8</xdr:col>
      <xdr:colOff>1127124</xdr:colOff>
      <xdr:row>6</xdr:row>
      <xdr:rowOff>79375</xdr:rowOff>
    </xdr:to>
    <xdr:grpSp>
      <xdr:nvGrpSpPr>
        <xdr:cNvPr id="343" name="Group 21734">
          <a:extLst>
            <a:ext uri="{FF2B5EF4-FFF2-40B4-BE49-F238E27FC236}">
              <a16:creationId xmlns:a16="http://schemas.microsoft.com/office/drawing/2014/main" id="{F54DF170-7740-B249-0C0F-317BF0C64718}"/>
            </a:ext>
          </a:extLst>
        </xdr:cNvPr>
        <xdr:cNvGrpSpPr/>
      </xdr:nvGrpSpPr>
      <xdr:grpSpPr>
        <a:xfrm>
          <a:off x="29720644" y="812272"/>
          <a:ext cx="436563" cy="394229"/>
          <a:chOff x="0" y="0"/>
          <a:chExt cx="296351" cy="229326"/>
        </a:xfrm>
      </xdr:grpSpPr>
      <xdr:sp macro="" textlink="">
        <xdr:nvSpPr>
          <xdr:cNvPr id="344" name="Shape 2619">
            <a:extLst>
              <a:ext uri="{FF2B5EF4-FFF2-40B4-BE49-F238E27FC236}">
                <a16:creationId xmlns:a16="http://schemas.microsoft.com/office/drawing/2014/main" id="{2FFA9365-4DCE-5526-56B1-8211A659814D}"/>
              </a:ext>
            </a:extLst>
          </xdr:cNvPr>
          <xdr:cNvSpPr/>
        </xdr:nvSpPr>
        <xdr:spPr>
          <a:xfrm>
            <a:off x="129098" y="0"/>
            <a:ext cx="167253" cy="229225"/>
          </a:xfrm>
          <a:custGeom>
            <a:avLst/>
            <a:gdLst/>
            <a:ahLst/>
            <a:cxnLst/>
            <a:rect l="0" t="0" r="0" b="0"/>
            <a:pathLst>
              <a:path w="167253" h="229225">
                <a:moveTo>
                  <a:pt x="12227" y="0"/>
                </a:moveTo>
                <a:lnTo>
                  <a:pt x="22556" y="0"/>
                </a:lnTo>
                <a:lnTo>
                  <a:pt x="23185" y="103"/>
                </a:lnTo>
                <a:lnTo>
                  <a:pt x="23824" y="206"/>
                </a:lnTo>
                <a:lnTo>
                  <a:pt x="24559" y="506"/>
                </a:lnTo>
                <a:lnTo>
                  <a:pt x="25295" y="814"/>
                </a:lnTo>
                <a:lnTo>
                  <a:pt x="26244" y="1114"/>
                </a:lnTo>
                <a:lnTo>
                  <a:pt x="27299" y="1628"/>
                </a:lnTo>
                <a:lnTo>
                  <a:pt x="27822" y="1825"/>
                </a:lnTo>
                <a:lnTo>
                  <a:pt x="28248" y="2134"/>
                </a:lnTo>
                <a:lnTo>
                  <a:pt x="28771" y="2442"/>
                </a:lnTo>
                <a:lnTo>
                  <a:pt x="29409" y="2639"/>
                </a:lnTo>
                <a:lnTo>
                  <a:pt x="29826" y="2948"/>
                </a:lnTo>
                <a:lnTo>
                  <a:pt x="30349" y="3247"/>
                </a:lnTo>
                <a:lnTo>
                  <a:pt x="30775" y="3556"/>
                </a:lnTo>
                <a:lnTo>
                  <a:pt x="31298" y="3864"/>
                </a:lnTo>
                <a:lnTo>
                  <a:pt x="32246" y="4473"/>
                </a:lnTo>
                <a:lnTo>
                  <a:pt x="33098" y="5081"/>
                </a:lnTo>
                <a:lnTo>
                  <a:pt x="33834" y="5690"/>
                </a:lnTo>
                <a:lnTo>
                  <a:pt x="34676" y="6401"/>
                </a:lnTo>
                <a:lnTo>
                  <a:pt x="35412" y="7112"/>
                </a:lnTo>
                <a:lnTo>
                  <a:pt x="36148" y="7720"/>
                </a:lnTo>
                <a:lnTo>
                  <a:pt x="36680" y="8329"/>
                </a:lnTo>
                <a:lnTo>
                  <a:pt x="37309" y="9143"/>
                </a:lnTo>
                <a:lnTo>
                  <a:pt x="37735" y="9648"/>
                </a:lnTo>
                <a:lnTo>
                  <a:pt x="38258" y="10463"/>
                </a:lnTo>
                <a:lnTo>
                  <a:pt x="163352" y="213577"/>
                </a:lnTo>
                <a:lnTo>
                  <a:pt x="163352" y="213679"/>
                </a:lnTo>
                <a:lnTo>
                  <a:pt x="163671" y="214086"/>
                </a:lnTo>
                <a:lnTo>
                  <a:pt x="163981" y="214492"/>
                </a:lnTo>
                <a:lnTo>
                  <a:pt x="164513" y="215406"/>
                </a:lnTo>
                <a:lnTo>
                  <a:pt x="164726" y="215813"/>
                </a:lnTo>
                <a:lnTo>
                  <a:pt x="165036" y="216320"/>
                </a:lnTo>
                <a:lnTo>
                  <a:pt x="165356" y="216727"/>
                </a:lnTo>
                <a:lnTo>
                  <a:pt x="165675" y="217337"/>
                </a:lnTo>
                <a:lnTo>
                  <a:pt x="165879" y="217947"/>
                </a:lnTo>
                <a:lnTo>
                  <a:pt x="166198" y="218556"/>
                </a:lnTo>
                <a:lnTo>
                  <a:pt x="166517" y="219166"/>
                </a:lnTo>
                <a:lnTo>
                  <a:pt x="166721" y="219877"/>
                </a:lnTo>
                <a:lnTo>
                  <a:pt x="166827" y="220487"/>
                </a:lnTo>
                <a:lnTo>
                  <a:pt x="166934" y="221097"/>
                </a:lnTo>
                <a:lnTo>
                  <a:pt x="167040" y="221706"/>
                </a:lnTo>
                <a:lnTo>
                  <a:pt x="167253" y="222417"/>
                </a:lnTo>
                <a:lnTo>
                  <a:pt x="167253" y="223636"/>
                </a:lnTo>
                <a:lnTo>
                  <a:pt x="167147" y="224348"/>
                </a:lnTo>
                <a:lnTo>
                  <a:pt x="167040" y="225059"/>
                </a:lnTo>
                <a:lnTo>
                  <a:pt x="166721" y="225567"/>
                </a:lnTo>
                <a:lnTo>
                  <a:pt x="166517" y="226075"/>
                </a:lnTo>
                <a:lnTo>
                  <a:pt x="166092" y="226685"/>
                </a:lnTo>
                <a:lnTo>
                  <a:pt x="165675" y="227294"/>
                </a:lnTo>
                <a:lnTo>
                  <a:pt x="164930" y="227802"/>
                </a:lnTo>
                <a:lnTo>
                  <a:pt x="164300" y="228310"/>
                </a:lnTo>
                <a:lnTo>
                  <a:pt x="163671" y="228717"/>
                </a:lnTo>
                <a:lnTo>
                  <a:pt x="162829" y="229225"/>
                </a:lnTo>
                <a:lnTo>
                  <a:pt x="138482" y="229225"/>
                </a:lnTo>
                <a:lnTo>
                  <a:pt x="0" y="8329"/>
                </a:lnTo>
                <a:lnTo>
                  <a:pt x="213" y="7720"/>
                </a:lnTo>
                <a:lnTo>
                  <a:pt x="638" y="7215"/>
                </a:lnTo>
                <a:lnTo>
                  <a:pt x="1055" y="6709"/>
                </a:lnTo>
                <a:lnTo>
                  <a:pt x="1481" y="6298"/>
                </a:lnTo>
                <a:lnTo>
                  <a:pt x="1897" y="5792"/>
                </a:lnTo>
                <a:lnTo>
                  <a:pt x="2323" y="5381"/>
                </a:lnTo>
                <a:lnTo>
                  <a:pt x="2633" y="4876"/>
                </a:lnTo>
                <a:lnTo>
                  <a:pt x="3165" y="4670"/>
                </a:lnTo>
                <a:lnTo>
                  <a:pt x="3582" y="4164"/>
                </a:lnTo>
                <a:lnTo>
                  <a:pt x="4114" y="3762"/>
                </a:lnTo>
                <a:lnTo>
                  <a:pt x="4531" y="3453"/>
                </a:lnTo>
                <a:lnTo>
                  <a:pt x="4956" y="3153"/>
                </a:lnTo>
                <a:lnTo>
                  <a:pt x="5905" y="2536"/>
                </a:lnTo>
                <a:lnTo>
                  <a:pt x="6854" y="2134"/>
                </a:lnTo>
                <a:lnTo>
                  <a:pt x="7696" y="1525"/>
                </a:lnTo>
                <a:lnTo>
                  <a:pt x="8645" y="1020"/>
                </a:lnTo>
                <a:lnTo>
                  <a:pt x="9593" y="608"/>
                </a:lnTo>
                <a:lnTo>
                  <a:pt x="10436" y="309"/>
                </a:lnTo>
                <a:lnTo>
                  <a:pt x="11384" y="103"/>
                </a:lnTo>
                <a:lnTo>
                  <a:pt x="12227" y="0"/>
                </a:lnTo>
                <a:close/>
              </a:path>
            </a:pathLst>
          </a:custGeom>
          <a:ln w="0" cap="flat">
            <a:miter lim="127000"/>
          </a:ln>
        </xdr:spPr>
        <xdr:style>
          <a:lnRef idx="0">
            <a:srgbClr val="000000">
              <a:alpha val="0"/>
            </a:srgbClr>
          </a:lnRef>
          <a:fillRef idx="1">
            <a:srgbClr val="D1D1D1"/>
          </a:fillRef>
          <a:effectRef idx="0">
            <a:scrgbClr r="0" g="0" b="0"/>
          </a:effectRef>
          <a:fontRef idx="none"/>
        </xdr:style>
        <xdr:txBody>
          <a:bodyPr/>
          <a:lstStyle/>
          <a:p>
            <a:endParaRPr lang="fr-FR"/>
          </a:p>
        </xdr:txBody>
      </xdr:sp>
      <xdr:sp macro="" textlink="">
        <xdr:nvSpPr>
          <xdr:cNvPr id="345" name="Shape 2620">
            <a:extLst>
              <a:ext uri="{FF2B5EF4-FFF2-40B4-BE49-F238E27FC236}">
                <a16:creationId xmlns:a16="http://schemas.microsoft.com/office/drawing/2014/main" id="{6BC1B5B1-AC58-830B-5BE9-9DE9315008A0}"/>
              </a:ext>
            </a:extLst>
          </xdr:cNvPr>
          <xdr:cNvSpPr/>
        </xdr:nvSpPr>
        <xdr:spPr>
          <a:xfrm>
            <a:off x="0" y="2236"/>
            <a:ext cx="275063" cy="227090"/>
          </a:xfrm>
          <a:custGeom>
            <a:avLst/>
            <a:gdLst/>
            <a:ahLst/>
            <a:cxnLst/>
            <a:rect l="0" t="0" r="0" b="0"/>
            <a:pathLst>
              <a:path w="275063" h="227090">
                <a:moveTo>
                  <a:pt x="137317" y="0"/>
                </a:moveTo>
                <a:lnTo>
                  <a:pt x="138691" y="0"/>
                </a:lnTo>
                <a:lnTo>
                  <a:pt x="139427" y="103"/>
                </a:lnTo>
                <a:lnTo>
                  <a:pt x="140163" y="103"/>
                </a:lnTo>
                <a:lnTo>
                  <a:pt x="140899" y="300"/>
                </a:lnTo>
                <a:lnTo>
                  <a:pt x="141431" y="506"/>
                </a:lnTo>
                <a:lnTo>
                  <a:pt x="142167" y="814"/>
                </a:lnTo>
                <a:lnTo>
                  <a:pt x="142797" y="1114"/>
                </a:lnTo>
                <a:lnTo>
                  <a:pt x="143329" y="1525"/>
                </a:lnTo>
                <a:lnTo>
                  <a:pt x="143958" y="1928"/>
                </a:lnTo>
                <a:lnTo>
                  <a:pt x="144694" y="2536"/>
                </a:lnTo>
                <a:lnTo>
                  <a:pt x="145120" y="2845"/>
                </a:lnTo>
                <a:lnTo>
                  <a:pt x="145643" y="3350"/>
                </a:lnTo>
                <a:lnTo>
                  <a:pt x="145962" y="3856"/>
                </a:lnTo>
                <a:lnTo>
                  <a:pt x="146485" y="4473"/>
                </a:lnTo>
                <a:lnTo>
                  <a:pt x="146804" y="4979"/>
                </a:lnTo>
                <a:lnTo>
                  <a:pt x="147230" y="5381"/>
                </a:lnTo>
                <a:lnTo>
                  <a:pt x="147540" y="5895"/>
                </a:lnTo>
                <a:lnTo>
                  <a:pt x="147966" y="6504"/>
                </a:lnTo>
                <a:lnTo>
                  <a:pt x="274638" y="213170"/>
                </a:lnTo>
                <a:lnTo>
                  <a:pt x="274744" y="213577"/>
                </a:lnTo>
                <a:lnTo>
                  <a:pt x="274744" y="214186"/>
                </a:lnTo>
                <a:lnTo>
                  <a:pt x="274957" y="214897"/>
                </a:lnTo>
                <a:lnTo>
                  <a:pt x="274957" y="216320"/>
                </a:lnTo>
                <a:lnTo>
                  <a:pt x="275063" y="216828"/>
                </a:lnTo>
                <a:lnTo>
                  <a:pt x="274957" y="217336"/>
                </a:lnTo>
                <a:lnTo>
                  <a:pt x="274957" y="217945"/>
                </a:lnTo>
                <a:lnTo>
                  <a:pt x="274851" y="218555"/>
                </a:lnTo>
                <a:lnTo>
                  <a:pt x="274851" y="219164"/>
                </a:lnTo>
                <a:lnTo>
                  <a:pt x="274638" y="219774"/>
                </a:lnTo>
                <a:lnTo>
                  <a:pt x="274531" y="220384"/>
                </a:lnTo>
                <a:lnTo>
                  <a:pt x="274327" y="220993"/>
                </a:lnTo>
                <a:lnTo>
                  <a:pt x="274115" y="221502"/>
                </a:lnTo>
                <a:lnTo>
                  <a:pt x="273689" y="222010"/>
                </a:lnTo>
                <a:lnTo>
                  <a:pt x="273379" y="222619"/>
                </a:lnTo>
                <a:lnTo>
                  <a:pt x="272847" y="223229"/>
                </a:lnTo>
                <a:lnTo>
                  <a:pt x="272430" y="223737"/>
                </a:lnTo>
                <a:lnTo>
                  <a:pt x="271898" y="224245"/>
                </a:lnTo>
                <a:lnTo>
                  <a:pt x="271269" y="224753"/>
                </a:lnTo>
                <a:lnTo>
                  <a:pt x="270533" y="225261"/>
                </a:lnTo>
                <a:lnTo>
                  <a:pt x="269894" y="225769"/>
                </a:lnTo>
                <a:lnTo>
                  <a:pt x="268946" y="226074"/>
                </a:lnTo>
                <a:lnTo>
                  <a:pt x="267997" y="226379"/>
                </a:lnTo>
                <a:lnTo>
                  <a:pt x="267048" y="226683"/>
                </a:lnTo>
                <a:lnTo>
                  <a:pt x="266002" y="227090"/>
                </a:lnTo>
                <a:lnTo>
                  <a:pt x="7799" y="226988"/>
                </a:lnTo>
                <a:lnTo>
                  <a:pt x="7588" y="226887"/>
                </a:lnTo>
                <a:lnTo>
                  <a:pt x="7271" y="226785"/>
                </a:lnTo>
                <a:lnTo>
                  <a:pt x="6639" y="226480"/>
                </a:lnTo>
                <a:lnTo>
                  <a:pt x="6007" y="226277"/>
                </a:lnTo>
                <a:lnTo>
                  <a:pt x="5059" y="225871"/>
                </a:lnTo>
                <a:lnTo>
                  <a:pt x="4321" y="225363"/>
                </a:lnTo>
                <a:lnTo>
                  <a:pt x="3478" y="224651"/>
                </a:lnTo>
                <a:lnTo>
                  <a:pt x="2635" y="223940"/>
                </a:lnTo>
                <a:lnTo>
                  <a:pt x="2213" y="223534"/>
                </a:lnTo>
                <a:lnTo>
                  <a:pt x="1792" y="223026"/>
                </a:lnTo>
                <a:lnTo>
                  <a:pt x="1370" y="222416"/>
                </a:lnTo>
                <a:lnTo>
                  <a:pt x="1054" y="221908"/>
                </a:lnTo>
                <a:lnTo>
                  <a:pt x="738" y="221298"/>
                </a:lnTo>
                <a:lnTo>
                  <a:pt x="422" y="220689"/>
                </a:lnTo>
                <a:lnTo>
                  <a:pt x="316" y="219977"/>
                </a:lnTo>
                <a:lnTo>
                  <a:pt x="211" y="219367"/>
                </a:lnTo>
                <a:lnTo>
                  <a:pt x="0" y="218555"/>
                </a:lnTo>
                <a:lnTo>
                  <a:pt x="0" y="216828"/>
                </a:lnTo>
                <a:lnTo>
                  <a:pt x="211" y="216014"/>
                </a:lnTo>
                <a:lnTo>
                  <a:pt x="316" y="214897"/>
                </a:lnTo>
                <a:lnTo>
                  <a:pt x="527" y="213983"/>
                </a:lnTo>
                <a:lnTo>
                  <a:pt x="632" y="213373"/>
                </a:lnTo>
                <a:lnTo>
                  <a:pt x="843" y="212865"/>
                </a:lnTo>
                <a:lnTo>
                  <a:pt x="1159" y="212357"/>
                </a:lnTo>
                <a:lnTo>
                  <a:pt x="1475" y="211950"/>
                </a:lnTo>
                <a:lnTo>
                  <a:pt x="127839" y="7215"/>
                </a:lnTo>
                <a:lnTo>
                  <a:pt x="128149" y="6607"/>
                </a:lnTo>
                <a:lnTo>
                  <a:pt x="128575" y="5990"/>
                </a:lnTo>
                <a:lnTo>
                  <a:pt x="128992" y="5484"/>
                </a:lnTo>
                <a:lnTo>
                  <a:pt x="129311" y="5081"/>
                </a:lnTo>
                <a:lnTo>
                  <a:pt x="129630" y="4567"/>
                </a:lnTo>
                <a:lnTo>
                  <a:pt x="130047" y="4164"/>
                </a:lnTo>
                <a:lnTo>
                  <a:pt x="130472" y="3762"/>
                </a:lnTo>
                <a:lnTo>
                  <a:pt x="130889" y="3453"/>
                </a:lnTo>
                <a:lnTo>
                  <a:pt x="131625" y="2639"/>
                </a:lnTo>
                <a:lnTo>
                  <a:pt x="132370" y="2134"/>
                </a:lnTo>
                <a:lnTo>
                  <a:pt x="133106" y="1525"/>
                </a:lnTo>
                <a:lnTo>
                  <a:pt x="133948" y="1217"/>
                </a:lnTo>
                <a:lnTo>
                  <a:pt x="134578" y="711"/>
                </a:lnTo>
                <a:lnTo>
                  <a:pt x="135322" y="506"/>
                </a:lnTo>
                <a:lnTo>
                  <a:pt x="136058" y="300"/>
                </a:lnTo>
                <a:lnTo>
                  <a:pt x="136688" y="206"/>
                </a:lnTo>
                <a:lnTo>
                  <a:pt x="137317"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fr-FR"/>
          </a:p>
        </xdr:txBody>
      </xdr:sp>
      <xdr:sp macro="" textlink="">
        <xdr:nvSpPr>
          <xdr:cNvPr id="346" name="Shape 2621">
            <a:extLst>
              <a:ext uri="{FF2B5EF4-FFF2-40B4-BE49-F238E27FC236}">
                <a16:creationId xmlns:a16="http://schemas.microsoft.com/office/drawing/2014/main" id="{F3E4B84A-8DA9-A708-31C4-71C967B169FC}"/>
              </a:ext>
            </a:extLst>
          </xdr:cNvPr>
          <xdr:cNvSpPr/>
        </xdr:nvSpPr>
        <xdr:spPr>
          <a:xfrm>
            <a:off x="29509" y="33530"/>
            <a:ext cx="214673" cy="176389"/>
          </a:xfrm>
          <a:custGeom>
            <a:avLst/>
            <a:gdLst/>
            <a:ahLst/>
            <a:cxnLst/>
            <a:rect l="0" t="0" r="0" b="0"/>
            <a:pathLst>
              <a:path w="214673" h="176389">
                <a:moveTo>
                  <a:pt x="105601" y="0"/>
                </a:moveTo>
                <a:lnTo>
                  <a:pt x="107179" y="0"/>
                </a:lnTo>
                <a:lnTo>
                  <a:pt x="108021" y="308"/>
                </a:lnTo>
                <a:lnTo>
                  <a:pt x="108447" y="506"/>
                </a:lnTo>
                <a:lnTo>
                  <a:pt x="108863" y="917"/>
                </a:lnTo>
                <a:lnTo>
                  <a:pt x="109183" y="1217"/>
                </a:lnTo>
                <a:lnTo>
                  <a:pt x="109706" y="1731"/>
                </a:lnTo>
                <a:lnTo>
                  <a:pt x="110131" y="2134"/>
                </a:lnTo>
                <a:lnTo>
                  <a:pt x="110654" y="2742"/>
                </a:lnTo>
                <a:lnTo>
                  <a:pt x="111080" y="3350"/>
                </a:lnTo>
                <a:lnTo>
                  <a:pt x="111497" y="4062"/>
                </a:lnTo>
                <a:lnTo>
                  <a:pt x="111922" y="4773"/>
                </a:lnTo>
                <a:lnTo>
                  <a:pt x="112445" y="5690"/>
                </a:lnTo>
                <a:lnTo>
                  <a:pt x="112765" y="6092"/>
                </a:lnTo>
                <a:lnTo>
                  <a:pt x="113084" y="6504"/>
                </a:lnTo>
                <a:lnTo>
                  <a:pt x="113394" y="6906"/>
                </a:lnTo>
                <a:lnTo>
                  <a:pt x="113713" y="7523"/>
                </a:lnTo>
                <a:lnTo>
                  <a:pt x="210249" y="163587"/>
                </a:lnTo>
                <a:lnTo>
                  <a:pt x="210772" y="164400"/>
                </a:lnTo>
                <a:lnTo>
                  <a:pt x="211304" y="165213"/>
                </a:lnTo>
                <a:lnTo>
                  <a:pt x="211827" y="166026"/>
                </a:lnTo>
                <a:lnTo>
                  <a:pt x="212359" y="166839"/>
                </a:lnTo>
                <a:lnTo>
                  <a:pt x="212669" y="167550"/>
                </a:lnTo>
                <a:lnTo>
                  <a:pt x="213095" y="168261"/>
                </a:lnTo>
                <a:lnTo>
                  <a:pt x="213414" y="168972"/>
                </a:lnTo>
                <a:lnTo>
                  <a:pt x="213831" y="169582"/>
                </a:lnTo>
                <a:lnTo>
                  <a:pt x="214044" y="170090"/>
                </a:lnTo>
                <a:lnTo>
                  <a:pt x="214257" y="170700"/>
                </a:lnTo>
                <a:lnTo>
                  <a:pt x="214460" y="171309"/>
                </a:lnTo>
                <a:lnTo>
                  <a:pt x="214673" y="171817"/>
                </a:lnTo>
                <a:lnTo>
                  <a:pt x="214673" y="173647"/>
                </a:lnTo>
                <a:lnTo>
                  <a:pt x="214257" y="174154"/>
                </a:lnTo>
                <a:lnTo>
                  <a:pt x="213618" y="174764"/>
                </a:lnTo>
                <a:lnTo>
                  <a:pt x="213202" y="174967"/>
                </a:lnTo>
                <a:lnTo>
                  <a:pt x="212776" y="175272"/>
                </a:lnTo>
                <a:lnTo>
                  <a:pt x="212253" y="175475"/>
                </a:lnTo>
                <a:lnTo>
                  <a:pt x="211721" y="175678"/>
                </a:lnTo>
                <a:lnTo>
                  <a:pt x="210985" y="175780"/>
                </a:lnTo>
                <a:lnTo>
                  <a:pt x="210249" y="175881"/>
                </a:lnTo>
                <a:lnTo>
                  <a:pt x="209513" y="175983"/>
                </a:lnTo>
                <a:lnTo>
                  <a:pt x="208671" y="176084"/>
                </a:lnTo>
                <a:lnTo>
                  <a:pt x="207722" y="176084"/>
                </a:lnTo>
                <a:lnTo>
                  <a:pt x="206774" y="176186"/>
                </a:lnTo>
                <a:lnTo>
                  <a:pt x="206135" y="176186"/>
                </a:lnTo>
                <a:lnTo>
                  <a:pt x="205612" y="176288"/>
                </a:lnTo>
                <a:lnTo>
                  <a:pt x="205080" y="176288"/>
                </a:lnTo>
                <a:lnTo>
                  <a:pt x="204557" y="176389"/>
                </a:lnTo>
                <a:lnTo>
                  <a:pt x="204034" y="176288"/>
                </a:lnTo>
                <a:lnTo>
                  <a:pt x="103703" y="176288"/>
                </a:lnTo>
                <a:lnTo>
                  <a:pt x="99066" y="176186"/>
                </a:lnTo>
                <a:lnTo>
                  <a:pt x="6745" y="176186"/>
                </a:lnTo>
                <a:lnTo>
                  <a:pt x="5901" y="176084"/>
                </a:lnTo>
                <a:lnTo>
                  <a:pt x="5058" y="176084"/>
                </a:lnTo>
                <a:lnTo>
                  <a:pt x="4215" y="175983"/>
                </a:lnTo>
                <a:lnTo>
                  <a:pt x="3583" y="175881"/>
                </a:lnTo>
                <a:lnTo>
                  <a:pt x="2740" y="175577"/>
                </a:lnTo>
                <a:lnTo>
                  <a:pt x="2108" y="175272"/>
                </a:lnTo>
                <a:lnTo>
                  <a:pt x="1370" y="174865"/>
                </a:lnTo>
                <a:lnTo>
                  <a:pt x="1053" y="174561"/>
                </a:lnTo>
                <a:lnTo>
                  <a:pt x="527" y="173951"/>
                </a:lnTo>
                <a:lnTo>
                  <a:pt x="210" y="173443"/>
                </a:lnTo>
                <a:lnTo>
                  <a:pt x="0" y="172732"/>
                </a:lnTo>
                <a:lnTo>
                  <a:pt x="105" y="172020"/>
                </a:lnTo>
                <a:lnTo>
                  <a:pt x="105" y="171208"/>
                </a:lnTo>
                <a:lnTo>
                  <a:pt x="421" y="170293"/>
                </a:lnTo>
                <a:lnTo>
                  <a:pt x="632" y="169683"/>
                </a:lnTo>
                <a:lnTo>
                  <a:pt x="948" y="169175"/>
                </a:lnTo>
                <a:lnTo>
                  <a:pt x="1264" y="168667"/>
                </a:lnTo>
                <a:lnTo>
                  <a:pt x="1686" y="168159"/>
                </a:lnTo>
                <a:lnTo>
                  <a:pt x="1686" y="167855"/>
                </a:lnTo>
                <a:lnTo>
                  <a:pt x="1896" y="167550"/>
                </a:lnTo>
                <a:lnTo>
                  <a:pt x="2213" y="166839"/>
                </a:lnTo>
                <a:lnTo>
                  <a:pt x="2740" y="166127"/>
                </a:lnTo>
                <a:lnTo>
                  <a:pt x="3372" y="165009"/>
                </a:lnTo>
                <a:lnTo>
                  <a:pt x="4004" y="163892"/>
                </a:lnTo>
                <a:lnTo>
                  <a:pt x="4953" y="162367"/>
                </a:lnTo>
                <a:lnTo>
                  <a:pt x="6007" y="160945"/>
                </a:lnTo>
                <a:lnTo>
                  <a:pt x="6850" y="159116"/>
                </a:lnTo>
                <a:lnTo>
                  <a:pt x="8114" y="157288"/>
                </a:lnTo>
                <a:lnTo>
                  <a:pt x="9274" y="155154"/>
                </a:lnTo>
                <a:lnTo>
                  <a:pt x="10644" y="152919"/>
                </a:lnTo>
                <a:lnTo>
                  <a:pt x="12119" y="150480"/>
                </a:lnTo>
                <a:lnTo>
                  <a:pt x="13700" y="148143"/>
                </a:lnTo>
                <a:lnTo>
                  <a:pt x="15281" y="145399"/>
                </a:lnTo>
                <a:lnTo>
                  <a:pt x="17073" y="142758"/>
                </a:lnTo>
                <a:lnTo>
                  <a:pt x="18654" y="139710"/>
                </a:lnTo>
                <a:lnTo>
                  <a:pt x="20445" y="136763"/>
                </a:lnTo>
                <a:lnTo>
                  <a:pt x="22342" y="133613"/>
                </a:lnTo>
                <a:lnTo>
                  <a:pt x="24344" y="130463"/>
                </a:lnTo>
                <a:lnTo>
                  <a:pt x="26242" y="127110"/>
                </a:lnTo>
                <a:lnTo>
                  <a:pt x="28244" y="123859"/>
                </a:lnTo>
                <a:lnTo>
                  <a:pt x="30351" y="120404"/>
                </a:lnTo>
                <a:lnTo>
                  <a:pt x="32565" y="117051"/>
                </a:lnTo>
                <a:lnTo>
                  <a:pt x="34672" y="113393"/>
                </a:lnTo>
                <a:lnTo>
                  <a:pt x="36780" y="109835"/>
                </a:lnTo>
                <a:lnTo>
                  <a:pt x="38993" y="106176"/>
                </a:lnTo>
                <a:lnTo>
                  <a:pt x="41311" y="102518"/>
                </a:lnTo>
                <a:lnTo>
                  <a:pt x="43420" y="98867"/>
                </a:lnTo>
                <a:lnTo>
                  <a:pt x="45843" y="95105"/>
                </a:lnTo>
                <a:lnTo>
                  <a:pt x="48162" y="91447"/>
                </a:lnTo>
                <a:lnTo>
                  <a:pt x="50480" y="87685"/>
                </a:lnTo>
                <a:lnTo>
                  <a:pt x="52694" y="83923"/>
                </a:lnTo>
                <a:lnTo>
                  <a:pt x="54907" y="80170"/>
                </a:lnTo>
                <a:lnTo>
                  <a:pt x="57120" y="76408"/>
                </a:lnTo>
                <a:lnTo>
                  <a:pt x="59434" y="72749"/>
                </a:lnTo>
                <a:lnTo>
                  <a:pt x="61651" y="68988"/>
                </a:lnTo>
                <a:lnTo>
                  <a:pt x="63867" y="65432"/>
                </a:lnTo>
                <a:lnTo>
                  <a:pt x="65969" y="61875"/>
                </a:lnTo>
                <a:lnTo>
                  <a:pt x="68185" y="58320"/>
                </a:lnTo>
                <a:lnTo>
                  <a:pt x="70189" y="54866"/>
                </a:lnTo>
                <a:lnTo>
                  <a:pt x="72299" y="51413"/>
                </a:lnTo>
                <a:lnTo>
                  <a:pt x="74294" y="48063"/>
                </a:lnTo>
                <a:lnTo>
                  <a:pt x="76404" y="44806"/>
                </a:lnTo>
                <a:lnTo>
                  <a:pt x="78195" y="41559"/>
                </a:lnTo>
                <a:lnTo>
                  <a:pt x="80092" y="38611"/>
                </a:lnTo>
                <a:lnTo>
                  <a:pt x="81883" y="35664"/>
                </a:lnTo>
                <a:lnTo>
                  <a:pt x="83674" y="32819"/>
                </a:lnTo>
                <a:lnTo>
                  <a:pt x="85368" y="29974"/>
                </a:lnTo>
                <a:lnTo>
                  <a:pt x="86946" y="27335"/>
                </a:lnTo>
                <a:lnTo>
                  <a:pt x="88311" y="24892"/>
                </a:lnTo>
                <a:lnTo>
                  <a:pt x="89898" y="22553"/>
                </a:lnTo>
                <a:lnTo>
                  <a:pt x="91051" y="20325"/>
                </a:lnTo>
                <a:lnTo>
                  <a:pt x="92425" y="18286"/>
                </a:lnTo>
                <a:lnTo>
                  <a:pt x="93480" y="16461"/>
                </a:lnTo>
                <a:lnTo>
                  <a:pt x="94642" y="14833"/>
                </a:lnTo>
                <a:lnTo>
                  <a:pt x="95378" y="13213"/>
                </a:lnTo>
                <a:lnTo>
                  <a:pt x="96327" y="11791"/>
                </a:lnTo>
                <a:lnTo>
                  <a:pt x="97062" y="10668"/>
                </a:lnTo>
                <a:lnTo>
                  <a:pt x="97692" y="9751"/>
                </a:lnTo>
                <a:lnTo>
                  <a:pt x="98118" y="8843"/>
                </a:lnTo>
                <a:lnTo>
                  <a:pt x="98534" y="8432"/>
                </a:lnTo>
                <a:lnTo>
                  <a:pt x="98747" y="8029"/>
                </a:lnTo>
                <a:lnTo>
                  <a:pt x="98853" y="8029"/>
                </a:lnTo>
                <a:lnTo>
                  <a:pt x="99066" y="7420"/>
                </a:lnTo>
                <a:lnTo>
                  <a:pt x="99377" y="6906"/>
                </a:lnTo>
                <a:lnTo>
                  <a:pt x="99696" y="6401"/>
                </a:lnTo>
                <a:lnTo>
                  <a:pt x="99909" y="6092"/>
                </a:lnTo>
                <a:lnTo>
                  <a:pt x="100432" y="5184"/>
                </a:lnTo>
                <a:lnTo>
                  <a:pt x="101070" y="4370"/>
                </a:lnTo>
                <a:lnTo>
                  <a:pt x="101487" y="3659"/>
                </a:lnTo>
                <a:lnTo>
                  <a:pt x="102019" y="3050"/>
                </a:lnTo>
                <a:lnTo>
                  <a:pt x="102435" y="2442"/>
                </a:lnTo>
                <a:lnTo>
                  <a:pt x="102967" y="1928"/>
                </a:lnTo>
                <a:lnTo>
                  <a:pt x="103384" y="1422"/>
                </a:lnTo>
                <a:lnTo>
                  <a:pt x="103916" y="1020"/>
                </a:lnTo>
                <a:lnTo>
                  <a:pt x="104333" y="711"/>
                </a:lnTo>
                <a:lnTo>
                  <a:pt x="104758" y="403"/>
                </a:lnTo>
                <a:lnTo>
                  <a:pt x="105601" y="0"/>
                </a:lnTo>
                <a:close/>
              </a:path>
            </a:pathLst>
          </a:custGeom>
          <a:ln w="0" cap="flat">
            <a:miter lim="127000"/>
          </a:ln>
        </xdr:spPr>
        <xdr:style>
          <a:lnRef idx="0">
            <a:srgbClr val="000000">
              <a:alpha val="0"/>
            </a:srgbClr>
          </a:lnRef>
          <a:fillRef idx="1">
            <a:srgbClr val="FFFF00"/>
          </a:fillRef>
          <a:effectRef idx="0">
            <a:scrgbClr r="0" g="0" b="0"/>
          </a:effectRef>
          <a:fontRef idx="none"/>
        </xdr:style>
        <xdr:txBody>
          <a:bodyPr/>
          <a:lstStyle/>
          <a:p>
            <a:endParaRPr lang="fr-FR"/>
          </a:p>
        </xdr:txBody>
      </xdr:sp>
      <xdr:sp macro="" textlink="">
        <xdr:nvSpPr>
          <xdr:cNvPr id="347" name="Shape 2622">
            <a:extLst>
              <a:ext uri="{FF2B5EF4-FFF2-40B4-BE49-F238E27FC236}">
                <a16:creationId xmlns:a16="http://schemas.microsoft.com/office/drawing/2014/main" id="{F41B1424-E7CF-1C6E-3423-3A83EB6D63C0}"/>
              </a:ext>
            </a:extLst>
          </xdr:cNvPr>
          <xdr:cNvSpPr/>
        </xdr:nvSpPr>
        <xdr:spPr>
          <a:xfrm>
            <a:off x="124993" y="67565"/>
            <a:ext cx="25393" cy="85658"/>
          </a:xfrm>
          <a:custGeom>
            <a:avLst/>
            <a:gdLst/>
            <a:ahLst/>
            <a:cxnLst/>
            <a:rect l="0" t="0" r="0" b="0"/>
            <a:pathLst>
              <a:path w="25393" h="85658">
                <a:moveTo>
                  <a:pt x="10329" y="0"/>
                </a:moveTo>
                <a:lnTo>
                  <a:pt x="14434" y="0"/>
                </a:lnTo>
                <a:lnTo>
                  <a:pt x="15276" y="103"/>
                </a:lnTo>
                <a:lnTo>
                  <a:pt x="16012" y="103"/>
                </a:lnTo>
                <a:lnTo>
                  <a:pt x="16757" y="206"/>
                </a:lnTo>
                <a:lnTo>
                  <a:pt x="17493" y="411"/>
                </a:lnTo>
                <a:lnTo>
                  <a:pt x="18123" y="711"/>
                </a:lnTo>
                <a:lnTo>
                  <a:pt x="18752" y="1020"/>
                </a:lnTo>
                <a:lnTo>
                  <a:pt x="19284" y="1328"/>
                </a:lnTo>
                <a:lnTo>
                  <a:pt x="19914" y="1628"/>
                </a:lnTo>
                <a:lnTo>
                  <a:pt x="20446" y="1937"/>
                </a:lnTo>
                <a:lnTo>
                  <a:pt x="20862" y="2339"/>
                </a:lnTo>
                <a:lnTo>
                  <a:pt x="21288" y="2545"/>
                </a:lnTo>
                <a:lnTo>
                  <a:pt x="21705" y="3051"/>
                </a:lnTo>
                <a:lnTo>
                  <a:pt x="22130" y="3462"/>
                </a:lnTo>
                <a:lnTo>
                  <a:pt x="22653" y="4070"/>
                </a:lnTo>
                <a:lnTo>
                  <a:pt x="23079" y="4884"/>
                </a:lnTo>
                <a:lnTo>
                  <a:pt x="23708" y="5895"/>
                </a:lnTo>
                <a:lnTo>
                  <a:pt x="23921" y="6401"/>
                </a:lnTo>
                <a:lnTo>
                  <a:pt x="24240" y="6915"/>
                </a:lnTo>
                <a:lnTo>
                  <a:pt x="24444" y="7421"/>
                </a:lnTo>
                <a:lnTo>
                  <a:pt x="24657" y="8029"/>
                </a:lnTo>
                <a:lnTo>
                  <a:pt x="24763" y="8535"/>
                </a:lnTo>
                <a:lnTo>
                  <a:pt x="24870" y="9152"/>
                </a:lnTo>
                <a:lnTo>
                  <a:pt x="24976" y="9657"/>
                </a:lnTo>
                <a:lnTo>
                  <a:pt x="25180" y="10265"/>
                </a:lnTo>
                <a:lnTo>
                  <a:pt x="25180" y="10771"/>
                </a:lnTo>
                <a:lnTo>
                  <a:pt x="25287" y="11380"/>
                </a:lnTo>
                <a:lnTo>
                  <a:pt x="25287" y="11894"/>
                </a:lnTo>
                <a:lnTo>
                  <a:pt x="25393" y="12502"/>
                </a:lnTo>
                <a:lnTo>
                  <a:pt x="25083" y="13616"/>
                </a:lnTo>
                <a:lnTo>
                  <a:pt x="24976" y="14738"/>
                </a:lnTo>
                <a:lnTo>
                  <a:pt x="24763" y="15852"/>
                </a:lnTo>
                <a:lnTo>
                  <a:pt x="24657" y="16975"/>
                </a:lnTo>
                <a:lnTo>
                  <a:pt x="24338" y="18089"/>
                </a:lnTo>
                <a:lnTo>
                  <a:pt x="24240" y="19203"/>
                </a:lnTo>
                <a:lnTo>
                  <a:pt x="24028" y="20428"/>
                </a:lnTo>
                <a:lnTo>
                  <a:pt x="23921" y="21542"/>
                </a:lnTo>
                <a:lnTo>
                  <a:pt x="23708" y="22665"/>
                </a:lnTo>
                <a:lnTo>
                  <a:pt x="23602" y="23779"/>
                </a:lnTo>
                <a:lnTo>
                  <a:pt x="23389" y="24995"/>
                </a:lnTo>
                <a:lnTo>
                  <a:pt x="23292" y="26118"/>
                </a:lnTo>
                <a:lnTo>
                  <a:pt x="23079" y="27232"/>
                </a:lnTo>
                <a:lnTo>
                  <a:pt x="22972" y="28354"/>
                </a:lnTo>
                <a:lnTo>
                  <a:pt x="22866" y="29571"/>
                </a:lnTo>
                <a:lnTo>
                  <a:pt x="22760" y="30685"/>
                </a:lnTo>
                <a:lnTo>
                  <a:pt x="22440" y="31808"/>
                </a:lnTo>
                <a:lnTo>
                  <a:pt x="22343" y="32921"/>
                </a:lnTo>
                <a:lnTo>
                  <a:pt x="22130" y="34044"/>
                </a:lnTo>
                <a:lnTo>
                  <a:pt x="22024" y="35158"/>
                </a:lnTo>
                <a:lnTo>
                  <a:pt x="21705" y="36375"/>
                </a:lnTo>
                <a:lnTo>
                  <a:pt x="21598" y="37497"/>
                </a:lnTo>
                <a:lnTo>
                  <a:pt x="21394" y="38714"/>
                </a:lnTo>
                <a:lnTo>
                  <a:pt x="21288" y="39837"/>
                </a:lnTo>
                <a:lnTo>
                  <a:pt x="21075" y="40951"/>
                </a:lnTo>
                <a:lnTo>
                  <a:pt x="20969" y="42064"/>
                </a:lnTo>
                <a:lnTo>
                  <a:pt x="20756" y="43187"/>
                </a:lnTo>
                <a:lnTo>
                  <a:pt x="20756" y="44301"/>
                </a:lnTo>
                <a:lnTo>
                  <a:pt x="20543" y="45526"/>
                </a:lnTo>
                <a:lnTo>
                  <a:pt x="20446" y="46640"/>
                </a:lnTo>
                <a:lnTo>
                  <a:pt x="20233" y="47857"/>
                </a:lnTo>
                <a:lnTo>
                  <a:pt x="20126" y="48980"/>
                </a:lnTo>
                <a:lnTo>
                  <a:pt x="19807" y="50093"/>
                </a:lnTo>
                <a:lnTo>
                  <a:pt x="19701" y="51319"/>
                </a:lnTo>
                <a:lnTo>
                  <a:pt x="19497" y="52330"/>
                </a:lnTo>
                <a:lnTo>
                  <a:pt x="19390" y="53547"/>
                </a:lnTo>
                <a:lnTo>
                  <a:pt x="19071" y="54566"/>
                </a:lnTo>
                <a:lnTo>
                  <a:pt x="18965" y="55783"/>
                </a:lnTo>
                <a:lnTo>
                  <a:pt x="18752" y="56906"/>
                </a:lnTo>
                <a:lnTo>
                  <a:pt x="18655" y="58122"/>
                </a:lnTo>
                <a:lnTo>
                  <a:pt x="18442" y="59142"/>
                </a:lnTo>
                <a:lnTo>
                  <a:pt x="18335" y="60359"/>
                </a:lnTo>
                <a:lnTo>
                  <a:pt x="18229" y="61473"/>
                </a:lnTo>
                <a:lnTo>
                  <a:pt x="18123" y="62698"/>
                </a:lnTo>
                <a:lnTo>
                  <a:pt x="17910" y="63812"/>
                </a:lnTo>
                <a:lnTo>
                  <a:pt x="17803" y="65029"/>
                </a:lnTo>
                <a:lnTo>
                  <a:pt x="17600" y="66151"/>
                </a:lnTo>
                <a:lnTo>
                  <a:pt x="17493" y="67368"/>
                </a:lnTo>
                <a:lnTo>
                  <a:pt x="17174" y="68388"/>
                </a:lnTo>
                <a:lnTo>
                  <a:pt x="17067" y="69605"/>
                </a:lnTo>
                <a:lnTo>
                  <a:pt x="16855" y="70616"/>
                </a:lnTo>
                <a:lnTo>
                  <a:pt x="16757" y="71841"/>
                </a:lnTo>
                <a:lnTo>
                  <a:pt x="16438" y="72852"/>
                </a:lnTo>
                <a:lnTo>
                  <a:pt x="16332" y="74078"/>
                </a:lnTo>
                <a:lnTo>
                  <a:pt x="16119" y="75192"/>
                </a:lnTo>
                <a:lnTo>
                  <a:pt x="16012" y="76408"/>
                </a:lnTo>
                <a:lnTo>
                  <a:pt x="15906" y="77428"/>
                </a:lnTo>
                <a:lnTo>
                  <a:pt x="15809" y="78647"/>
                </a:lnTo>
                <a:lnTo>
                  <a:pt x="15596" y="79765"/>
                </a:lnTo>
                <a:lnTo>
                  <a:pt x="15489" y="80984"/>
                </a:lnTo>
                <a:lnTo>
                  <a:pt x="15276" y="82102"/>
                </a:lnTo>
                <a:lnTo>
                  <a:pt x="15170" y="83321"/>
                </a:lnTo>
                <a:lnTo>
                  <a:pt x="14966" y="84438"/>
                </a:lnTo>
                <a:lnTo>
                  <a:pt x="14860" y="85658"/>
                </a:lnTo>
                <a:lnTo>
                  <a:pt x="10639" y="85658"/>
                </a:lnTo>
                <a:lnTo>
                  <a:pt x="10329" y="84438"/>
                </a:lnTo>
                <a:lnTo>
                  <a:pt x="10223" y="83321"/>
                </a:lnTo>
                <a:lnTo>
                  <a:pt x="10010" y="82102"/>
                </a:lnTo>
                <a:lnTo>
                  <a:pt x="9904" y="80984"/>
                </a:lnTo>
                <a:lnTo>
                  <a:pt x="9584" y="79765"/>
                </a:lnTo>
                <a:lnTo>
                  <a:pt x="9478" y="78647"/>
                </a:lnTo>
                <a:lnTo>
                  <a:pt x="9274" y="77428"/>
                </a:lnTo>
                <a:lnTo>
                  <a:pt x="9168" y="76314"/>
                </a:lnTo>
                <a:lnTo>
                  <a:pt x="8955" y="75089"/>
                </a:lnTo>
                <a:lnTo>
                  <a:pt x="8848" y="73975"/>
                </a:lnTo>
                <a:lnTo>
                  <a:pt x="8636" y="72749"/>
                </a:lnTo>
                <a:lnTo>
                  <a:pt x="8529" y="71636"/>
                </a:lnTo>
                <a:lnTo>
                  <a:pt x="8325" y="70419"/>
                </a:lnTo>
                <a:lnTo>
                  <a:pt x="8219" y="69296"/>
                </a:lnTo>
                <a:lnTo>
                  <a:pt x="8006" y="68079"/>
                </a:lnTo>
                <a:lnTo>
                  <a:pt x="7900" y="67060"/>
                </a:lnTo>
                <a:lnTo>
                  <a:pt x="7581" y="65843"/>
                </a:lnTo>
                <a:lnTo>
                  <a:pt x="7483" y="64729"/>
                </a:lnTo>
                <a:lnTo>
                  <a:pt x="7270" y="63504"/>
                </a:lnTo>
                <a:lnTo>
                  <a:pt x="7164" y="62390"/>
                </a:lnTo>
                <a:lnTo>
                  <a:pt x="6951" y="61173"/>
                </a:lnTo>
                <a:lnTo>
                  <a:pt x="6845" y="60050"/>
                </a:lnTo>
                <a:lnTo>
                  <a:pt x="6738" y="58834"/>
                </a:lnTo>
                <a:lnTo>
                  <a:pt x="6632" y="57814"/>
                </a:lnTo>
                <a:lnTo>
                  <a:pt x="6322" y="56597"/>
                </a:lnTo>
                <a:lnTo>
                  <a:pt x="6215" y="55483"/>
                </a:lnTo>
                <a:lnTo>
                  <a:pt x="6002" y="54258"/>
                </a:lnTo>
                <a:lnTo>
                  <a:pt x="5896" y="53144"/>
                </a:lnTo>
                <a:lnTo>
                  <a:pt x="5692" y="51927"/>
                </a:lnTo>
                <a:lnTo>
                  <a:pt x="5586" y="50805"/>
                </a:lnTo>
                <a:lnTo>
                  <a:pt x="5373" y="49588"/>
                </a:lnTo>
                <a:lnTo>
                  <a:pt x="5267" y="48568"/>
                </a:lnTo>
                <a:lnTo>
                  <a:pt x="4947" y="47351"/>
                </a:lnTo>
                <a:lnTo>
                  <a:pt x="4841" y="46237"/>
                </a:lnTo>
                <a:lnTo>
                  <a:pt x="4637" y="45012"/>
                </a:lnTo>
                <a:lnTo>
                  <a:pt x="4531" y="43898"/>
                </a:lnTo>
                <a:lnTo>
                  <a:pt x="4318" y="42682"/>
                </a:lnTo>
                <a:lnTo>
                  <a:pt x="4318" y="41559"/>
                </a:lnTo>
                <a:lnTo>
                  <a:pt x="4105" y="40342"/>
                </a:lnTo>
                <a:lnTo>
                  <a:pt x="3999" y="39220"/>
                </a:lnTo>
                <a:lnTo>
                  <a:pt x="3688" y="38003"/>
                </a:lnTo>
                <a:lnTo>
                  <a:pt x="3582" y="36889"/>
                </a:lnTo>
                <a:lnTo>
                  <a:pt x="3369" y="35664"/>
                </a:lnTo>
                <a:lnTo>
                  <a:pt x="3263" y="34550"/>
                </a:lnTo>
                <a:lnTo>
                  <a:pt x="3050" y="33333"/>
                </a:lnTo>
                <a:lnTo>
                  <a:pt x="2944" y="32210"/>
                </a:lnTo>
                <a:lnTo>
                  <a:pt x="2740" y="30993"/>
                </a:lnTo>
                <a:lnTo>
                  <a:pt x="2633" y="29974"/>
                </a:lnTo>
                <a:lnTo>
                  <a:pt x="2420" y="28757"/>
                </a:lnTo>
                <a:lnTo>
                  <a:pt x="2208" y="27643"/>
                </a:lnTo>
                <a:lnTo>
                  <a:pt x="1995" y="26418"/>
                </a:lnTo>
                <a:lnTo>
                  <a:pt x="1995" y="25304"/>
                </a:lnTo>
                <a:lnTo>
                  <a:pt x="1791" y="24087"/>
                </a:lnTo>
                <a:lnTo>
                  <a:pt x="1685" y="22964"/>
                </a:lnTo>
                <a:lnTo>
                  <a:pt x="1472" y="21748"/>
                </a:lnTo>
                <a:lnTo>
                  <a:pt x="1365" y="20728"/>
                </a:lnTo>
                <a:lnTo>
                  <a:pt x="1153" y="19511"/>
                </a:lnTo>
                <a:lnTo>
                  <a:pt x="1055" y="18397"/>
                </a:lnTo>
                <a:lnTo>
                  <a:pt x="842" y="17172"/>
                </a:lnTo>
                <a:lnTo>
                  <a:pt x="736" y="16161"/>
                </a:lnTo>
                <a:lnTo>
                  <a:pt x="523" y="14936"/>
                </a:lnTo>
                <a:lnTo>
                  <a:pt x="417" y="13822"/>
                </a:lnTo>
                <a:lnTo>
                  <a:pt x="204" y="12605"/>
                </a:lnTo>
                <a:lnTo>
                  <a:pt x="106" y="11585"/>
                </a:lnTo>
                <a:lnTo>
                  <a:pt x="0" y="10977"/>
                </a:lnTo>
                <a:lnTo>
                  <a:pt x="0" y="9760"/>
                </a:lnTo>
                <a:lnTo>
                  <a:pt x="106" y="9349"/>
                </a:lnTo>
                <a:lnTo>
                  <a:pt x="310" y="8235"/>
                </a:lnTo>
                <a:lnTo>
                  <a:pt x="736" y="7215"/>
                </a:lnTo>
                <a:lnTo>
                  <a:pt x="842" y="6709"/>
                </a:lnTo>
                <a:lnTo>
                  <a:pt x="1055" y="6204"/>
                </a:lnTo>
                <a:lnTo>
                  <a:pt x="1365" y="5690"/>
                </a:lnTo>
                <a:lnTo>
                  <a:pt x="1685" y="5184"/>
                </a:lnTo>
                <a:lnTo>
                  <a:pt x="2208" y="4370"/>
                </a:lnTo>
                <a:lnTo>
                  <a:pt x="3156" y="3556"/>
                </a:lnTo>
                <a:lnTo>
                  <a:pt x="3476" y="3051"/>
                </a:lnTo>
                <a:lnTo>
                  <a:pt x="3892" y="2648"/>
                </a:lnTo>
                <a:lnTo>
                  <a:pt x="4318" y="2339"/>
                </a:lnTo>
                <a:lnTo>
                  <a:pt x="4841" y="2039"/>
                </a:lnTo>
                <a:lnTo>
                  <a:pt x="5267" y="1731"/>
                </a:lnTo>
                <a:lnTo>
                  <a:pt x="5896" y="1422"/>
                </a:lnTo>
                <a:lnTo>
                  <a:pt x="6534" y="1123"/>
                </a:lnTo>
                <a:lnTo>
                  <a:pt x="7058" y="917"/>
                </a:lnTo>
                <a:lnTo>
                  <a:pt x="7687" y="617"/>
                </a:lnTo>
                <a:lnTo>
                  <a:pt x="8325" y="411"/>
                </a:lnTo>
                <a:lnTo>
                  <a:pt x="8955" y="206"/>
                </a:lnTo>
                <a:lnTo>
                  <a:pt x="9691" y="103"/>
                </a:lnTo>
                <a:lnTo>
                  <a:pt x="10329"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fr-FR"/>
          </a:p>
        </xdr:txBody>
      </xdr:sp>
      <xdr:sp macro="" textlink="">
        <xdr:nvSpPr>
          <xdr:cNvPr id="348" name="Shape 2623">
            <a:extLst>
              <a:ext uri="{FF2B5EF4-FFF2-40B4-BE49-F238E27FC236}">
                <a16:creationId xmlns:a16="http://schemas.microsoft.com/office/drawing/2014/main" id="{7F1A6E5A-2117-179B-C62A-96CD6FFE7555}"/>
              </a:ext>
            </a:extLst>
          </xdr:cNvPr>
          <xdr:cNvSpPr/>
        </xdr:nvSpPr>
        <xdr:spPr>
          <a:xfrm>
            <a:off x="126358" y="164806"/>
            <a:ext cx="24764" cy="24893"/>
          </a:xfrm>
          <a:custGeom>
            <a:avLst/>
            <a:gdLst/>
            <a:ahLst/>
            <a:cxnLst/>
            <a:rect l="0" t="0" r="0" b="0"/>
            <a:pathLst>
              <a:path w="24764" h="24893">
                <a:moveTo>
                  <a:pt x="11065" y="0"/>
                </a:moveTo>
                <a:lnTo>
                  <a:pt x="11704" y="0"/>
                </a:lnTo>
                <a:lnTo>
                  <a:pt x="12333" y="101"/>
                </a:lnTo>
                <a:lnTo>
                  <a:pt x="12856" y="0"/>
                </a:lnTo>
                <a:lnTo>
                  <a:pt x="13495" y="0"/>
                </a:lnTo>
                <a:lnTo>
                  <a:pt x="14124" y="101"/>
                </a:lnTo>
                <a:lnTo>
                  <a:pt x="14647" y="203"/>
                </a:lnTo>
                <a:lnTo>
                  <a:pt x="15179" y="203"/>
                </a:lnTo>
                <a:lnTo>
                  <a:pt x="15809" y="406"/>
                </a:lnTo>
                <a:lnTo>
                  <a:pt x="16438" y="508"/>
                </a:lnTo>
                <a:lnTo>
                  <a:pt x="16970" y="813"/>
                </a:lnTo>
                <a:lnTo>
                  <a:pt x="17493" y="1016"/>
                </a:lnTo>
                <a:lnTo>
                  <a:pt x="18025" y="1320"/>
                </a:lnTo>
                <a:lnTo>
                  <a:pt x="18548" y="1625"/>
                </a:lnTo>
                <a:lnTo>
                  <a:pt x="19080" y="2032"/>
                </a:lnTo>
                <a:lnTo>
                  <a:pt x="19391" y="2337"/>
                </a:lnTo>
                <a:lnTo>
                  <a:pt x="19923" y="2642"/>
                </a:lnTo>
                <a:lnTo>
                  <a:pt x="20446" y="3048"/>
                </a:lnTo>
                <a:lnTo>
                  <a:pt x="20978" y="3455"/>
                </a:lnTo>
                <a:lnTo>
                  <a:pt x="21288" y="3759"/>
                </a:lnTo>
                <a:lnTo>
                  <a:pt x="21607" y="4267"/>
                </a:lnTo>
                <a:lnTo>
                  <a:pt x="22024" y="4673"/>
                </a:lnTo>
                <a:lnTo>
                  <a:pt x="22449" y="5181"/>
                </a:lnTo>
                <a:lnTo>
                  <a:pt x="22769" y="5690"/>
                </a:lnTo>
                <a:lnTo>
                  <a:pt x="23079" y="6198"/>
                </a:lnTo>
                <a:lnTo>
                  <a:pt x="23398" y="6808"/>
                </a:lnTo>
                <a:lnTo>
                  <a:pt x="23717" y="7417"/>
                </a:lnTo>
                <a:lnTo>
                  <a:pt x="23921" y="7925"/>
                </a:lnTo>
                <a:lnTo>
                  <a:pt x="24028" y="8535"/>
                </a:lnTo>
                <a:lnTo>
                  <a:pt x="24240" y="9145"/>
                </a:lnTo>
                <a:lnTo>
                  <a:pt x="24453" y="9754"/>
                </a:lnTo>
                <a:lnTo>
                  <a:pt x="24560" y="10262"/>
                </a:lnTo>
                <a:lnTo>
                  <a:pt x="24666" y="10973"/>
                </a:lnTo>
                <a:lnTo>
                  <a:pt x="24666" y="11684"/>
                </a:lnTo>
                <a:lnTo>
                  <a:pt x="24764" y="12396"/>
                </a:lnTo>
                <a:lnTo>
                  <a:pt x="24666" y="13006"/>
                </a:lnTo>
                <a:lnTo>
                  <a:pt x="24666" y="13615"/>
                </a:lnTo>
                <a:lnTo>
                  <a:pt x="24560" y="14225"/>
                </a:lnTo>
                <a:lnTo>
                  <a:pt x="24453" y="14733"/>
                </a:lnTo>
                <a:lnTo>
                  <a:pt x="24240" y="15342"/>
                </a:lnTo>
                <a:lnTo>
                  <a:pt x="24028" y="15953"/>
                </a:lnTo>
                <a:lnTo>
                  <a:pt x="23921" y="16562"/>
                </a:lnTo>
                <a:lnTo>
                  <a:pt x="23815" y="17070"/>
                </a:lnTo>
                <a:lnTo>
                  <a:pt x="23504" y="17578"/>
                </a:lnTo>
                <a:lnTo>
                  <a:pt x="23185" y="18086"/>
                </a:lnTo>
                <a:lnTo>
                  <a:pt x="22875" y="18594"/>
                </a:lnTo>
                <a:lnTo>
                  <a:pt x="22556" y="19204"/>
                </a:lnTo>
                <a:lnTo>
                  <a:pt x="22130" y="19610"/>
                </a:lnTo>
                <a:lnTo>
                  <a:pt x="21820" y="20118"/>
                </a:lnTo>
                <a:lnTo>
                  <a:pt x="21501" y="20626"/>
                </a:lnTo>
                <a:lnTo>
                  <a:pt x="21182" y="21134"/>
                </a:lnTo>
                <a:lnTo>
                  <a:pt x="20658" y="21540"/>
                </a:lnTo>
                <a:lnTo>
                  <a:pt x="20126" y="21845"/>
                </a:lnTo>
                <a:lnTo>
                  <a:pt x="19603" y="22150"/>
                </a:lnTo>
                <a:lnTo>
                  <a:pt x="19284" y="22557"/>
                </a:lnTo>
                <a:lnTo>
                  <a:pt x="18655" y="22862"/>
                </a:lnTo>
                <a:lnTo>
                  <a:pt x="18132" y="23166"/>
                </a:lnTo>
                <a:lnTo>
                  <a:pt x="17600" y="23471"/>
                </a:lnTo>
                <a:lnTo>
                  <a:pt x="17076" y="23878"/>
                </a:lnTo>
                <a:lnTo>
                  <a:pt x="16544" y="23979"/>
                </a:lnTo>
                <a:lnTo>
                  <a:pt x="15915" y="24182"/>
                </a:lnTo>
                <a:lnTo>
                  <a:pt x="15286" y="24385"/>
                </a:lnTo>
                <a:lnTo>
                  <a:pt x="14647" y="24589"/>
                </a:lnTo>
                <a:lnTo>
                  <a:pt x="14124" y="24690"/>
                </a:lnTo>
                <a:lnTo>
                  <a:pt x="13495" y="24792"/>
                </a:lnTo>
                <a:lnTo>
                  <a:pt x="12856" y="24792"/>
                </a:lnTo>
                <a:lnTo>
                  <a:pt x="12333" y="24893"/>
                </a:lnTo>
                <a:lnTo>
                  <a:pt x="11704" y="24792"/>
                </a:lnTo>
                <a:lnTo>
                  <a:pt x="10959" y="24792"/>
                </a:lnTo>
                <a:lnTo>
                  <a:pt x="10329" y="24690"/>
                </a:lnTo>
                <a:lnTo>
                  <a:pt x="9806" y="24589"/>
                </a:lnTo>
                <a:lnTo>
                  <a:pt x="9168" y="24385"/>
                </a:lnTo>
                <a:lnTo>
                  <a:pt x="8538" y="24182"/>
                </a:lnTo>
                <a:lnTo>
                  <a:pt x="7909" y="23979"/>
                </a:lnTo>
                <a:lnTo>
                  <a:pt x="7483" y="23878"/>
                </a:lnTo>
                <a:lnTo>
                  <a:pt x="6854" y="23471"/>
                </a:lnTo>
                <a:lnTo>
                  <a:pt x="6215" y="23166"/>
                </a:lnTo>
                <a:lnTo>
                  <a:pt x="5692" y="22862"/>
                </a:lnTo>
                <a:lnTo>
                  <a:pt x="5373" y="22557"/>
                </a:lnTo>
                <a:lnTo>
                  <a:pt x="4744" y="22150"/>
                </a:lnTo>
                <a:lnTo>
                  <a:pt x="4327" y="21845"/>
                </a:lnTo>
                <a:lnTo>
                  <a:pt x="3795" y="21540"/>
                </a:lnTo>
                <a:lnTo>
                  <a:pt x="3476" y="21134"/>
                </a:lnTo>
                <a:lnTo>
                  <a:pt x="2953" y="20626"/>
                </a:lnTo>
                <a:lnTo>
                  <a:pt x="2633" y="20118"/>
                </a:lnTo>
                <a:lnTo>
                  <a:pt x="2323" y="19610"/>
                </a:lnTo>
                <a:lnTo>
                  <a:pt x="2004" y="19204"/>
                </a:lnTo>
                <a:lnTo>
                  <a:pt x="1578" y="18594"/>
                </a:lnTo>
                <a:lnTo>
                  <a:pt x="1268" y="18086"/>
                </a:lnTo>
                <a:lnTo>
                  <a:pt x="1055" y="17578"/>
                </a:lnTo>
                <a:lnTo>
                  <a:pt x="842" y="17070"/>
                </a:lnTo>
                <a:lnTo>
                  <a:pt x="630" y="16562"/>
                </a:lnTo>
                <a:lnTo>
                  <a:pt x="426" y="15953"/>
                </a:lnTo>
                <a:lnTo>
                  <a:pt x="213" y="15342"/>
                </a:lnTo>
                <a:lnTo>
                  <a:pt x="213" y="14733"/>
                </a:lnTo>
                <a:lnTo>
                  <a:pt x="0" y="14225"/>
                </a:lnTo>
                <a:lnTo>
                  <a:pt x="0" y="10262"/>
                </a:lnTo>
                <a:lnTo>
                  <a:pt x="213" y="9754"/>
                </a:lnTo>
                <a:lnTo>
                  <a:pt x="213" y="9145"/>
                </a:lnTo>
                <a:lnTo>
                  <a:pt x="426" y="8535"/>
                </a:lnTo>
                <a:lnTo>
                  <a:pt x="630" y="7925"/>
                </a:lnTo>
                <a:lnTo>
                  <a:pt x="842" y="7417"/>
                </a:lnTo>
                <a:lnTo>
                  <a:pt x="1055" y="6808"/>
                </a:lnTo>
                <a:lnTo>
                  <a:pt x="1374" y="6198"/>
                </a:lnTo>
                <a:lnTo>
                  <a:pt x="1685" y="5690"/>
                </a:lnTo>
                <a:lnTo>
                  <a:pt x="2110" y="5181"/>
                </a:lnTo>
                <a:lnTo>
                  <a:pt x="2429" y="4673"/>
                </a:lnTo>
                <a:lnTo>
                  <a:pt x="2740" y="4267"/>
                </a:lnTo>
                <a:lnTo>
                  <a:pt x="3059" y="3759"/>
                </a:lnTo>
                <a:lnTo>
                  <a:pt x="3582" y="3455"/>
                </a:lnTo>
                <a:lnTo>
                  <a:pt x="3901" y="3048"/>
                </a:lnTo>
                <a:lnTo>
                  <a:pt x="4424" y="2642"/>
                </a:lnTo>
                <a:lnTo>
                  <a:pt x="4850" y="2337"/>
                </a:lnTo>
                <a:lnTo>
                  <a:pt x="5373" y="2032"/>
                </a:lnTo>
                <a:lnTo>
                  <a:pt x="5799" y="1625"/>
                </a:lnTo>
                <a:lnTo>
                  <a:pt x="6322" y="1320"/>
                </a:lnTo>
                <a:lnTo>
                  <a:pt x="6960" y="1016"/>
                </a:lnTo>
                <a:lnTo>
                  <a:pt x="7590" y="813"/>
                </a:lnTo>
                <a:lnTo>
                  <a:pt x="8015" y="508"/>
                </a:lnTo>
                <a:lnTo>
                  <a:pt x="8538" y="406"/>
                </a:lnTo>
                <a:lnTo>
                  <a:pt x="9168" y="203"/>
                </a:lnTo>
                <a:lnTo>
                  <a:pt x="9806" y="203"/>
                </a:lnTo>
                <a:lnTo>
                  <a:pt x="10329" y="101"/>
                </a:lnTo>
                <a:lnTo>
                  <a:pt x="11065"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fr-FR"/>
          </a:p>
        </xdr:txBody>
      </xdr:sp>
    </xdr:grpSp>
    <xdr:clientData/>
  </xdr:twoCellAnchor>
  <xdr:twoCellAnchor editAs="oneCell">
    <xdr:from>
      <xdr:col>8</xdr:col>
      <xdr:colOff>619613</xdr:colOff>
      <xdr:row>8</xdr:row>
      <xdr:rowOff>26987</xdr:rowOff>
    </xdr:from>
    <xdr:to>
      <xdr:col>9</xdr:col>
      <xdr:colOff>7938</xdr:colOff>
      <xdr:row>16</xdr:row>
      <xdr:rowOff>512761</xdr:rowOff>
    </xdr:to>
    <xdr:pic>
      <xdr:nvPicPr>
        <xdr:cNvPr id="349" name="Image 348">
          <a:extLst>
            <a:ext uri="{FF2B5EF4-FFF2-40B4-BE49-F238E27FC236}">
              <a16:creationId xmlns:a16="http://schemas.microsoft.com/office/drawing/2014/main" id="{41FD6793-A6C4-276E-D22B-1F150232E2EC}"/>
            </a:ext>
          </a:extLst>
        </xdr:cNvPr>
        <xdr:cNvPicPr>
          <a:picLocks noChangeAspect="1"/>
        </xdr:cNvPicPr>
      </xdr:nvPicPr>
      <xdr:blipFill>
        <a:blip xmlns:r="http://schemas.openxmlformats.org/officeDocument/2006/relationships" r:embed="rId4"/>
        <a:stretch>
          <a:fillRect/>
        </a:stretch>
      </xdr:blipFill>
      <xdr:spPr>
        <a:xfrm>
          <a:off x="28583426" y="1550987"/>
          <a:ext cx="6016137" cy="2536825"/>
        </a:xfrm>
        <a:prstGeom prst="rect">
          <a:avLst/>
        </a:prstGeom>
      </xdr:spPr>
    </xdr:pic>
    <xdr:clientData/>
  </xdr:twoCellAnchor>
  <xdr:twoCellAnchor editAs="oneCell">
    <xdr:from>
      <xdr:col>10</xdr:col>
      <xdr:colOff>0</xdr:colOff>
      <xdr:row>2</xdr:row>
      <xdr:rowOff>174624</xdr:rowOff>
    </xdr:from>
    <xdr:to>
      <xdr:col>11</xdr:col>
      <xdr:colOff>315577</xdr:colOff>
      <xdr:row>16</xdr:row>
      <xdr:rowOff>123823</xdr:rowOff>
    </xdr:to>
    <xdr:pic>
      <xdr:nvPicPr>
        <xdr:cNvPr id="350" name="Image 349">
          <a:extLst>
            <a:ext uri="{FF2B5EF4-FFF2-40B4-BE49-F238E27FC236}">
              <a16:creationId xmlns:a16="http://schemas.microsoft.com/office/drawing/2014/main" id="{F445E1C1-EFF6-E070-A4D5-838952246F16}"/>
            </a:ext>
          </a:extLst>
        </xdr:cNvPr>
        <xdr:cNvPicPr>
          <a:picLocks noChangeAspect="1"/>
        </xdr:cNvPicPr>
      </xdr:nvPicPr>
      <xdr:blipFill>
        <a:blip xmlns:r="http://schemas.openxmlformats.org/officeDocument/2006/relationships" r:embed="rId5"/>
        <a:stretch>
          <a:fillRect/>
        </a:stretch>
      </xdr:blipFill>
      <xdr:spPr>
        <a:xfrm>
          <a:off x="34678938" y="579437"/>
          <a:ext cx="6975139" cy="31194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209549</xdr:colOff>
      <xdr:row>43</xdr:row>
      <xdr:rowOff>9523</xdr:rowOff>
    </xdr:from>
    <xdr:to>
      <xdr:col>9</xdr:col>
      <xdr:colOff>190499</xdr:colOff>
      <xdr:row>67</xdr:row>
      <xdr:rowOff>28574</xdr:rowOff>
    </xdr:to>
    <xdr:graphicFrame macro="">
      <xdr:nvGraphicFramePr>
        <xdr:cNvPr id="2" name="Graphique 1">
          <a:extLst>
            <a:ext uri="{FF2B5EF4-FFF2-40B4-BE49-F238E27FC236}">
              <a16:creationId xmlns:a16="http://schemas.microsoft.com/office/drawing/2014/main" id="{BD1BF63F-C00E-3067-C0E3-308D6F3910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819149</xdr:colOff>
      <xdr:row>42</xdr:row>
      <xdr:rowOff>161923</xdr:rowOff>
    </xdr:from>
    <xdr:to>
      <xdr:col>16</xdr:col>
      <xdr:colOff>38099</xdr:colOff>
      <xdr:row>67</xdr:row>
      <xdr:rowOff>0</xdr:rowOff>
    </xdr:to>
    <xdr:graphicFrame macro="">
      <xdr:nvGraphicFramePr>
        <xdr:cNvPr id="3" name="Graphique 2">
          <a:extLst>
            <a:ext uri="{FF2B5EF4-FFF2-40B4-BE49-F238E27FC236}">
              <a16:creationId xmlns:a16="http://schemas.microsoft.com/office/drawing/2014/main" id="{EA145ACB-7D4D-6CA1-28CD-378C091D36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43</xdr:row>
      <xdr:rowOff>0</xdr:rowOff>
    </xdr:from>
    <xdr:to>
      <xdr:col>8</xdr:col>
      <xdr:colOff>684430</xdr:colOff>
      <xdr:row>66</xdr:row>
      <xdr:rowOff>132977</xdr:rowOff>
    </xdr:to>
    <xdr:graphicFrame macro="">
      <xdr:nvGraphicFramePr>
        <xdr:cNvPr id="2" name="Graphique 1">
          <a:extLst>
            <a:ext uri="{FF2B5EF4-FFF2-40B4-BE49-F238E27FC236}">
              <a16:creationId xmlns:a16="http://schemas.microsoft.com/office/drawing/2014/main" id="{1FF94178-91D1-404A-9224-E3734B936D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43</xdr:row>
      <xdr:rowOff>0</xdr:rowOff>
    </xdr:from>
    <xdr:to>
      <xdr:col>17</xdr:col>
      <xdr:colOff>439769</xdr:colOff>
      <xdr:row>66</xdr:row>
      <xdr:rowOff>108886</xdr:rowOff>
    </xdr:to>
    <xdr:graphicFrame macro="">
      <xdr:nvGraphicFramePr>
        <xdr:cNvPr id="3" name="Graphique 2">
          <a:extLst>
            <a:ext uri="{FF2B5EF4-FFF2-40B4-BE49-F238E27FC236}">
              <a16:creationId xmlns:a16="http://schemas.microsoft.com/office/drawing/2014/main" id="{031D61D2-D60F-4D9A-B7EE-4753B8BE7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44</xdr:row>
      <xdr:rowOff>0</xdr:rowOff>
    </xdr:from>
    <xdr:to>
      <xdr:col>9</xdr:col>
      <xdr:colOff>684430</xdr:colOff>
      <xdr:row>67</xdr:row>
      <xdr:rowOff>132977</xdr:rowOff>
    </xdr:to>
    <xdr:graphicFrame macro="">
      <xdr:nvGraphicFramePr>
        <xdr:cNvPr id="2" name="Graphique 1">
          <a:extLst>
            <a:ext uri="{FF2B5EF4-FFF2-40B4-BE49-F238E27FC236}">
              <a16:creationId xmlns:a16="http://schemas.microsoft.com/office/drawing/2014/main" id="{72727200-7BE7-4FFD-8787-47B14B918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44</xdr:row>
      <xdr:rowOff>0</xdr:rowOff>
    </xdr:from>
    <xdr:to>
      <xdr:col>17</xdr:col>
      <xdr:colOff>206936</xdr:colOff>
      <xdr:row>67</xdr:row>
      <xdr:rowOff>113648</xdr:rowOff>
    </xdr:to>
    <xdr:graphicFrame macro="">
      <xdr:nvGraphicFramePr>
        <xdr:cNvPr id="3" name="Graphique 2">
          <a:extLst>
            <a:ext uri="{FF2B5EF4-FFF2-40B4-BE49-F238E27FC236}">
              <a16:creationId xmlns:a16="http://schemas.microsoft.com/office/drawing/2014/main" id="{DCFCA565-E3F8-44D8-956C-E6FDF936EC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38</xdr:row>
      <xdr:rowOff>0</xdr:rowOff>
    </xdr:from>
    <xdr:to>
      <xdr:col>9</xdr:col>
      <xdr:colOff>684430</xdr:colOff>
      <xdr:row>61</xdr:row>
      <xdr:rowOff>132976</xdr:rowOff>
    </xdr:to>
    <xdr:graphicFrame macro="">
      <xdr:nvGraphicFramePr>
        <xdr:cNvPr id="2" name="Graphique 1">
          <a:extLst>
            <a:ext uri="{FF2B5EF4-FFF2-40B4-BE49-F238E27FC236}">
              <a16:creationId xmlns:a16="http://schemas.microsoft.com/office/drawing/2014/main" id="{FC6236D9-8304-4A81-9567-7872CEC725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dr:from>
      <xdr:col>1</xdr:col>
      <xdr:colOff>76200</xdr:colOff>
      <xdr:row>5</xdr:row>
      <xdr:rowOff>76200</xdr:rowOff>
    </xdr:from>
    <xdr:ext cx="2900000" cy="508000"/>
    <xdr:sp macro="" textlink="">
      <xdr:nvSpPr>
        <xdr:cNvPr id="2" name="Bouton 2" descr="OUVRIR LA SCHÉMATHÈQUE  ►">
          <a:hlinkClick r:id="rId1" tooltip="OUVRIR LA SCHÉMATHÈQUE  ►"/>
        </xdr:cNvPr>
        <xdr:cNvSpPr/>
      </xdr:nvSpPr>
      <xdr:spPr>
        <a:prstGeom prst="roundRect">
          <a:avLst>
            <a:gd name="adj" fmla="val 18000"/>
          </a:avLst>
        </a:prstGeom>
        <a:solidFill>
          <a:srgbClr val="C4501A"/>
        </a:solidFill>
        <a:ln w="12700">
          <a:solidFill>
            <a:srgbClr val="A8431A"/>
          </a:solidFill>
        </a:ln>
        <a:effectLst>
          <a:outerShdw blurRad="38100" dist="19050" dir="5400000" algn="t" rotWithShape="0">
            <a:srgbClr val="000000">
              <a:alpha val="25000"/>
            </a:srgbClr>
          </a:outerShdw>
        </a:effectLst>
      </xdr:spPr>
      <xdr:txBody>
        <a:bodyPr vertOverflow="clip" horzOverflow="clip" rtlCol="0" anchor="ctr"/>
        <a:lstStyle/>
        <a:p>
          <a:pPr algn="ctr"/>
          <a:r>
            <a:rPr lang="fr-FR" sz="1300" b="1">
              <a:solidFill>
                <a:srgbClr val="FFFFFF"/>
              </a:solidFill>
              <a:latin typeface="Arial"/>
              <a:cs typeface="Arial"/>
            </a:rPr>
            <a:t>OUVRIR LA SCHÉMATHÈQUE  ►</a:t>
          </a:r>
        </a:p>
      </xdr:txBody>
    </xdr:sp>
    <xdr:clientData fPrintsWithSheet="1"/>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olaire-collectif.fr/ftp/pgiArticle/3/Schematheque_SOCOL_ECS_Collective_Fev2016.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5C55C-234B-43DF-AA25-100A2AF86B0B}">
  <sheetPr codeName="Feuil7">
    <tabColor theme="7"/>
  </sheetPr>
  <dimension ref="A1:A19"/>
  <sheetViews>
    <sheetView showGridLines="0" zoomScale="70" zoomScaleNormal="70" workbookViewId="0">
      <selection activeCell="G66" sqref="G66"/>
    </sheetView>
  </sheetViews>
  <sheetFormatPr baseColWidth="10" defaultRowHeight="14.25"/>
  <cols>
    <col min="1" max="1" width="142.265625" customWidth="1"/>
  </cols>
  <sheetData>
    <row r="1">
      <c r="A1" s="226" t="s">
        <v>219</v>
      </c>
      <c r="B1" s="441" t="str">
        <f>HYPERLINK("#'Sommaire'!A1","◄ Sommaire")</f>
      </c>
    </row>
    <row r="2" spans="1:1">
      <c r="A2" s="220" t="s">
        <v>220</v>
      </c>
    </row>
    <row r="3" spans="1:1">
      <c r="A3" s="221" t="s">
        <v>221</v>
      </c>
    </row>
    <row r="4" spans="1:1">
      <c r="A4" s="220" t="s">
        <v>220</v>
      </c>
    </row>
    <row r="5" spans="1:1" ht="54">
      <c r="A5" s="222" t="s">
        <v>222</v>
      </c>
    </row>
    <row r="6" spans="1:1">
      <c r="A6" s="220"/>
    </row>
    <row r="7" spans="1:1" ht="54">
      <c r="A7" s="225" t="s">
        <v>223</v>
      </c>
    </row>
    <row r="8" spans="1:1" ht="27">
      <c r="A8" s="228" t="s">
        <v>224</v>
      </c>
    </row>
    <row r="9" spans="1:1">
      <c r="A9" s="229" t="s">
        <v>220</v>
      </c>
    </row>
    <row r="10" spans="1:1" ht="27.75">
      <c r="A10" s="230" t="s">
        <v>225</v>
      </c>
    </row>
    <row r="11" spans="1:1">
      <c r="A11" s="220" t="s">
        <v>220</v>
      </c>
    </row>
    <row r="12" spans="1:1">
      <c r="A12" s="227" t="s">
        <v>226</v>
      </c>
    </row>
    <row r="13" spans="1:1">
      <c r="A13" s="221"/>
    </row>
    <row r="14" spans="1:1" ht="27">
      <c r="A14" s="222" t="s">
        <v>227</v>
      </c>
    </row>
    <row r="15" spans="1:1">
      <c r="A15" s="222"/>
    </row>
    <row r="16" spans="1:1">
      <c r="A16" s="224" t="s">
        <v>229</v>
      </c>
    </row>
    <row r="17" spans="1:1">
      <c r="A17" s="224"/>
    </row>
    <row r="18" spans="1:1" ht="301.5" customHeight="1">
      <c r="A18" s="224"/>
    </row>
    <row r="19" spans="1:1">
      <c r="A19" s="224" t="s">
        <v>228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FA0AA-47A0-48A4-80C5-3222BEBC1C9A}">
  <sheetPr codeName="Feuil10">
    <tabColor rgb="FFFFC000"/>
  </sheetPr>
  <dimension ref="A1:J36"/>
  <sheetViews>
    <sheetView showGridLines="0" topLeftCell="A54" workbookViewId="0">
      <selection activeCell="L8" sqref="L8"/>
    </sheetView>
  </sheetViews>
  <sheetFormatPr baseColWidth="10" defaultRowHeight="14.25"/>
  <sheetData>
    <row r="1">
      <c r="A1" s="303" t="s">
        <v>367</v>
      </c>
      <c r="B1" s="304" t="s">
        <v>368</v>
      </c>
      <c r="C1" s="304"/>
      <c r="D1" s="304"/>
      <c r="H1" s="325" t="s">
        <v>369</v>
      </c>
      <c r="I1" s="326"/>
      <c r="J1" s="305" t="s">
        <v>370</v>
      </c>
      <c r="L1" s="441" t="str">
        <f>HYPERLINK("#'Sommaire'!A1","◄ Sommaire")</f>
      </c>
    </row>
    <row r="2" spans="1:10" ht="14.65" thickBot="1">
      <c r="A2" s="306" t="s">
        <v>371</v>
      </c>
      <c r="H2" s="325" t="s">
        <v>372</v>
      </c>
      <c r="I2" s="326"/>
      <c r="J2" s="305" t="s">
        <v>373</v>
      </c>
    </row>
    <row r="3" spans="1:10">
      <c r="A3" s="307"/>
      <c r="B3" s="308" t="s">
        <v>374</v>
      </c>
      <c r="C3" s="309" t="s">
        <v>375</v>
      </c>
      <c r="D3" s="309"/>
      <c r="H3" s="325" t="s">
        <v>376</v>
      </c>
      <c r="I3" s="326"/>
      <c r="J3" s="305" t="s">
        <v>377</v>
      </c>
    </row>
    <row r="4" spans="1:10" ht="14.65" thickBot="1">
      <c r="A4" s="307"/>
      <c r="B4" s="310" t="s">
        <v>373</v>
      </c>
      <c r="H4" s="325" t="s">
        <v>378</v>
      </c>
      <c r="I4" s="326"/>
      <c r="J4" s="305" t="s">
        <v>379</v>
      </c>
    </row>
    <row r="5" spans="1:10">
      <c r="A5" s="307"/>
      <c r="B5" s="310" t="s">
        <v>370</v>
      </c>
      <c r="C5" s="311" t="s">
        <v>380</v>
      </c>
      <c r="D5" s="312" t="s">
        <v>381</v>
      </c>
      <c r="E5" s="312"/>
      <c r="F5" s="312"/>
      <c r="H5" s="325" t="s">
        <v>382</v>
      </c>
      <c r="I5" s="326"/>
      <c r="J5" s="305" t="s">
        <v>382</v>
      </c>
    </row>
    <row r="6" spans="1:10">
      <c r="A6" s="307"/>
      <c r="B6" s="310" t="s">
        <v>379</v>
      </c>
      <c r="C6" s="313" t="s">
        <v>377</v>
      </c>
      <c r="H6" s="325" t="s">
        <v>383</v>
      </c>
      <c r="I6" s="326"/>
      <c r="J6" s="305" t="s">
        <v>384</v>
      </c>
    </row>
    <row r="7" spans="1:10" ht="14.65" thickBot="1">
      <c r="A7" s="314"/>
      <c r="B7" s="315"/>
      <c r="C7" s="316"/>
      <c r="H7" s="325" t="s">
        <v>385</v>
      </c>
      <c r="I7" s="326"/>
      <c r="J7" s="305" t="s">
        <v>386</v>
      </c>
    </row>
    <row r="8" spans="1:10">
      <c r="C8" s="317"/>
      <c r="H8" s="325" t="s">
        <v>387</v>
      </c>
      <c r="I8" s="326"/>
      <c r="J8" s="305" t="s">
        <v>388</v>
      </c>
    </row>
    <row r="9" spans="1:10">
      <c r="A9" s="318" t="s">
        <v>389</v>
      </c>
      <c r="B9" t="s">
        <v>390</v>
      </c>
      <c r="H9" s="319"/>
    </row>
    <row r="10" spans="1:10">
      <c r="A10" s="318" t="s">
        <v>391</v>
      </c>
      <c r="B10" t="s">
        <v>392</v>
      </c>
      <c r="H10" s="319"/>
    </row>
    <row r="11" spans="1:10">
      <c r="A11" s="318" t="s">
        <v>393</v>
      </c>
      <c r="B11" t="s">
        <v>394</v>
      </c>
    </row>
    <row r="12" spans="1:10">
      <c r="A12" s="318" t="s">
        <v>395</v>
      </c>
      <c r="B12" t="s">
        <v>396</v>
      </c>
    </row>
    <row r="13" spans="1:10">
      <c r="A13" s="318" t="s">
        <v>397</v>
      </c>
      <c r="B13" t="s">
        <v>398</v>
      </c>
    </row>
    <row r="14" spans="1:10">
      <c r="A14" s="318" t="s">
        <v>399</v>
      </c>
      <c r="B14" t="s">
        <v>400</v>
      </c>
    </row>
    <row r="15" spans="1:10">
      <c r="A15" s="318" t="s">
        <v>401</v>
      </c>
      <c r="B15" t="s">
        <v>402</v>
      </c>
    </row>
    <row r="16" spans="1:10">
      <c r="A16" s="318" t="s">
        <v>403</v>
      </c>
      <c r="B16" t="s">
        <v>404</v>
      </c>
    </row>
    <row r="18" spans="1:3">
      <c r="A18" s="320" t="s">
        <v>335</v>
      </c>
      <c r="B18" s="320"/>
    </row>
    <row r="19" spans="1:3">
      <c r="A19" s="320" t="s">
        <v>336</v>
      </c>
    </row>
    <row r="20" spans="1:3">
      <c r="A20" s="321" t="s">
        <v>337</v>
      </c>
    </row>
    <row r="21" spans="1:3">
      <c r="A21" s="321" t="s">
        <v>405</v>
      </c>
    </row>
    <row r="24" spans="1:3">
      <c r="A24" s="302" t="s">
        <v>358</v>
      </c>
      <c r="B24" s="302"/>
      <c r="C24" s="302"/>
    </row>
    <row r="25" spans="1:3">
      <c r="B25" t="s">
        <v>359</v>
      </c>
    </row>
    <row r="26" spans="1:3">
      <c r="B26" t="s">
        <v>360</v>
      </c>
    </row>
    <row r="28" spans="1:3">
      <c r="A28" s="302" t="s">
        <v>361</v>
      </c>
    </row>
    <row r="29" spans="1:3">
      <c r="B29" t="s">
        <v>362</v>
      </c>
    </row>
    <row r="30" spans="1:3">
      <c r="B30" t="s">
        <v>363</v>
      </c>
    </row>
    <row r="32" spans="1:3">
      <c r="A32" s="302" t="s">
        <v>364</v>
      </c>
    </row>
    <row r="33" spans="1:2">
      <c r="B33" t="s">
        <v>359</v>
      </c>
    </row>
    <row r="34" spans="1:2">
      <c r="B34" t="s">
        <v>365</v>
      </c>
    </row>
    <row r="36" spans="1:2">
      <c r="A36" s="302" t="s">
        <v>366</v>
      </c>
    </row>
  </sheetData>
  <mergeCells count="8">
    <mergeCell ref="H7:I7"/>
    <mergeCell ref="H8:I8"/>
    <mergeCell ref="H1:I1"/>
    <mergeCell ref="H2:I2"/>
    <mergeCell ref="H3:I3"/>
    <mergeCell ref="H4:I4"/>
    <mergeCell ref="H5:I5"/>
    <mergeCell ref="H6:I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049E8-C1C0-43E0-910C-33EE04F7F12F}">
  <sheetPr codeName="Feuil8">
    <tabColor theme="5"/>
  </sheetPr>
  <dimension ref="A1:L35"/>
  <sheetViews>
    <sheetView showGridLines="0" zoomScale="90" zoomScaleNormal="90" workbookViewId="0">
      <selection activeCell="A25" sqref="A25"/>
    </sheetView>
  </sheetViews>
  <sheetFormatPr baseColWidth="10" defaultRowHeight="14.25"/>
  <cols>
    <col min="1" max="1" width="124.796875" customWidth="1"/>
    <col min="2" max="2" width="0.9296875" style="240" customWidth="1"/>
    <col min="3" max="3" width="96" customWidth="1"/>
    <col min="4" max="4" width="0.796875" style="240" customWidth="1"/>
    <col min="5" max="5" width="92.6640625" customWidth="1"/>
    <col min="6" max="6" width="0.796875" style="240" customWidth="1"/>
    <col min="7" max="7" width="89.19921875" customWidth="1"/>
    <col min="8" max="8" width="1.1328125" style="240" customWidth="1"/>
    <col min="9" max="9" width="92.796875" customWidth="1"/>
    <col min="10" max="10" width="1.19921875" style="240" customWidth="1"/>
    <col min="11" max="11" width="93.19921875" customWidth="1"/>
  </cols>
  <sheetData>
    <row r="1" s="232" customFormat="1" ht="18" customHeight="1">
      <c r="A1" s="233" t="s">
        <v>230</v>
      </c>
      <c r="B1" s="239"/>
      <c r="C1" s="231" t="s">
        <v>244</v>
      </c>
      <c r="D1" s="241" t="s">
        <v>220</v>
      </c>
      <c r="E1" s="243" t="s">
        <v>254</v>
      </c>
      <c r="F1" s="239"/>
      <c r="G1" s="243" t="s">
        <v>273</v>
      </c>
      <c r="H1" s="239"/>
      <c r="I1" s="231" t="s">
        <v>285</v>
      </c>
      <c r="J1" s="240"/>
      <c r="K1" s="259" t="s">
        <v>295</v>
      </c>
      <c r="L1" s="259"/>
      <c r="N1" s="441" t="str">
        <f>HYPERLINK("#'Sommaire'!A1","◄ Sommaire")</f>
      </c>
    </row>
    <row r="2" spans="1:12" s="232" customFormat="1" ht="13.5" customHeight="1">
      <c r="A2" s="220" t="s">
        <v>220</v>
      </c>
      <c r="B2" s="239"/>
      <c r="C2" s="222" t="s">
        <v>245</v>
      </c>
      <c r="D2" s="240"/>
      <c r="E2" s="244" t="s">
        <v>255</v>
      </c>
      <c r="F2" s="239"/>
      <c r="G2" s="250" t="s">
        <v>274</v>
      </c>
      <c r="H2" s="239"/>
      <c r="I2" s="250" t="s">
        <v>286</v>
      </c>
      <c r="J2" s="240"/>
      <c r="K2" s="250" t="s">
        <v>286</v>
      </c>
      <c r="L2"/>
    </row>
    <row r="3" spans="1:12" s="232" customFormat="1" ht="13.5" customHeight="1">
      <c r="A3" s="220" t="s">
        <v>220</v>
      </c>
      <c r="B3" s="239"/>
      <c r="D3" s="240"/>
      <c r="E3" s="223" t="s">
        <v>257</v>
      </c>
      <c r="F3" s="239"/>
      <c r="G3" s="250" t="s">
        <v>275</v>
      </c>
      <c r="H3" s="239"/>
      <c r="I3" s="250" t="s">
        <v>275</v>
      </c>
      <c r="J3" s="240"/>
      <c r="K3"/>
    </row>
    <row r="4" spans="1:12" ht="15">
      <c r="A4" s="231" t="s">
        <v>231</v>
      </c>
      <c r="E4" s="244" t="s">
        <v>258</v>
      </c>
      <c r="G4" s="254" t="s">
        <v>276</v>
      </c>
      <c r="I4" s="250" t="s">
        <v>287</v>
      </c>
    </row>
    <row r="5" spans="1:12" ht="15.75">
      <c r="A5" s="220" t="s">
        <v>220</v>
      </c>
      <c r="E5" s="246" t="s">
        <v>257</v>
      </c>
      <c r="I5" s="250" t="s">
        <v>290</v>
      </c>
    </row>
    <row r="6" spans="1:12" ht="13.25" customHeight="1">
      <c r="A6" s="222" t="s">
        <v>232</v>
      </c>
      <c r="E6" s="245" t="s">
        <v>256</v>
      </c>
      <c r="I6" s="258" t="s">
        <v>289</v>
      </c>
      <c r="J6" s="247" t="s">
        <v>220</v>
      </c>
      <c r="K6" s="223"/>
    </row>
    <row r="7" spans="1:12" ht="15">
      <c r="A7" s="234" t="s">
        <v>236</v>
      </c>
      <c r="I7" s="257" t="s">
        <v>288</v>
      </c>
    </row>
    <row r="8" spans="1:12" ht="15.4">
      <c r="A8" s="234" t="s">
        <v>237</v>
      </c>
      <c r="I8" s="248" t="s">
        <v>291</v>
      </c>
    </row>
    <row r="9" spans="1:12">
      <c r="A9" s="220" t="s">
        <v>220</v>
      </c>
    </row>
    <row r="10" spans="1:12" ht="27">
      <c r="A10" s="222" t="s">
        <v>233</v>
      </c>
    </row>
    <row r="11" spans="1:12">
      <c r="A11" s="220" t="s">
        <v>220</v>
      </c>
    </row>
    <row r="12" spans="1:12">
      <c r="A12" s="235" t="s">
        <v>234</v>
      </c>
    </row>
    <row r="13" spans="1:12">
      <c r="A13" s="234"/>
    </row>
    <row r="14" spans="1:12" ht="43.15">
      <c r="A14" s="237" t="s">
        <v>242</v>
      </c>
    </row>
    <row r="15" spans="1:12" ht="18.75">
      <c r="A15" s="234" t="s">
        <v>243</v>
      </c>
      <c r="C15" s="238" t="s">
        <v>250</v>
      </c>
      <c r="E15" s="249" t="s">
        <v>260</v>
      </c>
      <c r="G15" s="255" t="s">
        <v>277</v>
      </c>
    </row>
    <row r="16" spans="1:12" ht="15">
      <c r="A16" s="220" t="s">
        <v>220</v>
      </c>
      <c r="C16" s="220" t="s">
        <v>220</v>
      </c>
      <c r="E16" s="223" t="s">
        <v>220</v>
      </c>
      <c r="G16" s="223" t="s">
        <v>220</v>
      </c>
    </row>
    <row r="17" spans="1:12" ht="58.15" customHeight="1">
      <c r="A17" s="235" t="s">
        <v>235</v>
      </c>
      <c r="C17" s="222" t="s">
        <v>246</v>
      </c>
      <c r="E17" s="249" t="s">
        <v>261</v>
      </c>
      <c r="G17" s="250" t="s">
        <v>246</v>
      </c>
      <c r="K17" s="249" t="s">
        <v>296</v>
      </c>
    </row>
    <row r="18" spans="1:12" ht="18.75">
      <c r="A18" s="220" t="s">
        <v>220</v>
      </c>
      <c r="C18" s="220" t="s">
        <v>220</v>
      </c>
      <c r="E18" s="249" t="s">
        <v>262</v>
      </c>
      <c r="G18" s="223" t="s">
        <v>220</v>
      </c>
      <c r="I18" s="255" t="s">
        <v>292</v>
      </c>
      <c r="K18" s="223" t="s">
        <v>220</v>
      </c>
    </row>
    <row r="19" spans="1:12" ht="45">
      <c r="A19" s="236" t="s">
        <v>238</v>
      </c>
      <c r="C19" s="222" t="s">
        <v>247</v>
      </c>
      <c r="E19" s="223" t="s">
        <v>220</v>
      </c>
      <c r="G19" s="250" t="s">
        <v>278</v>
      </c>
      <c r="I19" s="223" t="s">
        <v>220</v>
      </c>
      <c r="K19" s="250" t="s">
        <v>246</v>
      </c>
    </row>
    <row r="20" spans="1:12" ht="47.25">
      <c r="A20" s="220" t="s">
        <v>220</v>
      </c>
      <c r="C20" s="220" t="s">
        <v>220</v>
      </c>
      <c r="E20" s="249" t="s">
        <v>263</v>
      </c>
      <c r="G20" s="223" t="s">
        <v>220</v>
      </c>
      <c r="I20" s="250" t="s">
        <v>293</v>
      </c>
      <c r="K20" s="223" t="s">
        <v>220</v>
      </c>
    </row>
    <row r="21" spans="1:12" ht="30">
      <c r="A21" s="235" t="s">
        <v>239</v>
      </c>
      <c r="C21" s="222" t="s">
        <v>248</v>
      </c>
      <c r="E21" s="250" t="s">
        <v>264</v>
      </c>
      <c r="G21" s="250" t="s">
        <v>248</v>
      </c>
      <c r="I21" s="223" t="s">
        <v>220</v>
      </c>
      <c r="K21" s="250" t="s">
        <v>247</v>
      </c>
    </row>
    <row r="22" spans="1:12" ht="18">
      <c r="A22" s="234" t="s">
        <v>240</v>
      </c>
      <c r="C22" s="220" t="s">
        <v>220</v>
      </c>
      <c r="E22" s="223" t="s">
        <v>220</v>
      </c>
      <c r="G22" s="250" t="s">
        <v>279</v>
      </c>
      <c r="I22" s="250" t="s">
        <v>294</v>
      </c>
      <c r="K22" s="223" t="s">
        <v>220</v>
      </c>
    </row>
    <row r="23" spans="1:12" ht="30.4" customHeight="1">
      <c r="A23" s="234" t="s">
        <v>241</v>
      </c>
      <c r="C23" s="222" t="s">
        <v>251</v>
      </c>
      <c r="E23" s="251" t="s">
        <v>265</v>
      </c>
      <c r="F23" s="253"/>
      <c r="G23" s="223" t="s">
        <v>220</v>
      </c>
      <c r="K23" s="250" t="s">
        <v>248</v>
      </c>
    </row>
    <row r="24" spans="1:12" ht="15.4" customHeight="1">
      <c r="C24" s="220" t="s">
        <v>220</v>
      </c>
      <c r="E24" s="252" t="s">
        <v>267</v>
      </c>
      <c r="F24" s="327"/>
      <c r="G24" s="223" t="s">
        <v>283</v>
      </c>
      <c r="H24" s="247"/>
      <c r="K24" s="223" t="s">
        <v>220</v>
      </c>
    </row>
    <row r="25" spans="1:12" ht="18">
      <c r="C25" s="220" t="s">
        <v>253</v>
      </c>
      <c r="D25" s="242"/>
      <c r="E25" s="251" t="s">
        <v>220</v>
      </c>
      <c r="F25" s="327"/>
      <c r="G25" s="223" t="s">
        <v>220</v>
      </c>
      <c r="K25" s="250" t="s">
        <v>279</v>
      </c>
    </row>
    <row r="26" spans="1:12" ht="18.75">
      <c r="C26" s="220" t="s">
        <v>220</v>
      </c>
      <c r="E26" s="251" t="s">
        <v>266</v>
      </c>
      <c r="F26" s="327"/>
      <c r="G26" s="255" t="s">
        <v>280</v>
      </c>
      <c r="K26" s="223" t="s">
        <v>220</v>
      </c>
    </row>
    <row r="27" spans="1:12" ht="16.25" customHeight="1">
      <c r="C27" s="238" t="s">
        <v>252</v>
      </c>
      <c r="E27" s="251" t="s">
        <v>269</v>
      </c>
      <c r="G27" s="223" t="s">
        <v>220</v>
      </c>
      <c r="K27" s="223" t="s">
        <v>298</v>
      </c>
      <c r="L27" s="223"/>
    </row>
    <row r="28" spans="1:12" ht="15">
      <c r="C28" s="220" t="s">
        <v>220</v>
      </c>
      <c r="E28" s="223" t="s">
        <v>268</v>
      </c>
      <c r="G28" s="250" t="s">
        <v>249</v>
      </c>
      <c r="K28" s="223" t="s">
        <v>220</v>
      </c>
    </row>
    <row r="29" spans="1:12" ht="15">
      <c r="C29" s="222" t="s">
        <v>249</v>
      </c>
      <c r="E29" s="223" t="s">
        <v>270</v>
      </c>
      <c r="G29" s="223" t="s">
        <v>220</v>
      </c>
      <c r="K29" s="249" t="s">
        <v>297</v>
      </c>
    </row>
    <row r="30" spans="1:12" ht="15">
      <c r="E30" s="223" t="s">
        <v>271</v>
      </c>
      <c r="G30" s="223" t="s">
        <v>220</v>
      </c>
      <c r="K30" s="223" t="s">
        <v>220</v>
      </c>
    </row>
    <row r="31" spans="1:12" ht="33">
      <c r="E31" s="223" t="s">
        <v>272</v>
      </c>
      <c r="G31" s="250" t="s">
        <v>281</v>
      </c>
      <c r="K31" s="250" t="s">
        <v>249</v>
      </c>
    </row>
    <row r="32" spans="1:12" ht="15">
      <c r="G32" s="223" t="s">
        <v>220</v>
      </c>
    </row>
    <row r="33" spans="7:8" ht="15">
      <c r="G33" s="223" t="s">
        <v>284</v>
      </c>
      <c r="H33" s="247"/>
    </row>
    <row r="34" spans="7:8" ht="15">
      <c r="G34" s="223" t="s">
        <v>220</v>
      </c>
    </row>
    <row r="35" spans="7:8" ht="30">
      <c r="G35" s="256" t="s">
        <v>282</v>
      </c>
    </row>
  </sheetData>
  <mergeCells count="1">
    <mergeCell ref="F24:F2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27475-C088-46B2-8104-F3AA3563CC98}">
  <sheetPr codeName="Feuil9">
    <tabColor theme="9"/>
    <pageSetUpPr fitToPage="1"/>
  </sheetPr>
  <dimension ref="B1:H49"/>
  <sheetViews>
    <sheetView topLeftCell="A20" zoomScale="70" zoomScaleNormal="70" workbookViewId="0">
      <selection activeCell="E32" sqref="E32:W53"/>
    </sheetView>
  </sheetViews>
  <sheetFormatPr baseColWidth="10" defaultColWidth="11.3984375" defaultRowHeight="12.75"/>
  <cols>
    <col min="1" max="1" width="5.3984375" style="29" customWidth="1"/>
    <col min="2" max="2" width="73.59765625" style="29" customWidth="1"/>
    <col min="3" max="3" width="46" style="29" customWidth="1"/>
    <col min="4" max="4" width="5.3984375" style="29" customWidth="1"/>
    <col min="5" max="5" width="11.3984375" style="29"/>
    <col min="6" max="6" width="11.3984375" style="29" customWidth="1"/>
    <col min="7" max="7" width="11.3984375" style="29"/>
    <col min="8" max="8" width="25.265625" style="29" customWidth="1"/>
    <col min="9" max="16384" width="11.3984375" style="29"/>
  </cols>
  <sheetData>
    <row r="1" ht="13.15" thickBot="1">
      <c r="B1" s="441" t="str">
        <f>HYPERLINK("#'Sommaire'!A1","◄ Sommaire")</f>
      </c>
    </row>
    <row r="2" spans="2:3" ht="22.5">
      <c r="B2" s="329" t="s">
        <v>299</v>
      </c>
      <c r="C2" s="330"/>
    </row>
    <row r="3" spans="2:3" ht="22.9" thickBot="1">
      <c r="B3" s="331" t="s">
        <v>300</v>
      </c>
      <c r="C3" s="332"/>
    </row>
    <row r="4" spans="2:3" ht="18" thickTop="1" thickBot="1">
      <c r="B4" s="261"/>
    </row>
    <row r="5" spans="2:3" ht="17.25">
      <c r="B5" s="333" t="s">
        <v>301</v>
      </c>
      <c r="C5" s="334"/>
    </row>
    <row r="6" spans="2:3" ht="50.25" customHeight="1" thickBot="1">
      <c r="B6" s="335" t="s">
        <v>302</v>
      </c>
      <c r="C6" s="336"/>
    </row>
    <row r="7" spans="2:3" ht="17.25">
      <c r="B7" s="262"/>
    </row>
    <row r="8" spans="2:3" ht="17.25">
      <c r="B8" s="261" t="s">
        <v>303</v>
      </c>
    </row>
    <row r="9" spans="2:3" ht="17.25">
      <c r="B9" s="263" t="s">
        <v>304</v>
      </c>
      <c r="C9" s="264" t="s">
        <v>305</v>
      </c>
    </row>
    <row r="10" spans="2:3" ht="17.25">
      <c r="B10" s="265"/>
    </row>
    <row r="11" spans="2:3" ht="17.25">
      <c r="B11" s="261" t="s">
        <v>306</v>
      </c>
    </row>
    <row r="12" spans="2:3" ht="17.25">
      <c r="B12" s="263" t="s">
        <v>304</v>
      </c>
      <c r="C12" s="264" t="s">
        <v>305</v>
      </c>
    </row>
    <row r="13" spans="2:3" ht="17.25">
      <c r="B13" s="265"/>
    </row>
    <row r="14" spans="2:3" ht="17.25">
      <c r="B14" s="261" t="s">
        <v>307</v>
      </c>
    </row>
    <row r="15" spans="2:3" ht="17.25">
      <c r="B15" s="263" t="s">
        <v>304</v>
      </c>
      <c r="C15" s="264" t="s">
        <v>305</v>
      </c>
    </row>
    <row r="16" spans="2:3" ht="17.649999999999999" thickBot="1">
      <c r="B16" s="263"/>
      <c r="C16" s="264"/>
    </row>
    <row r="17" spans="2:8" ht="23.25" customHeight="1" thickBot="1">
      <c r="B17" s="337" t="s">
        <v>308</v>
      </c>
      <c r="C17" s="338"/>
    </row>
    <row r="18" spans="2:8" ht="23.25" customHeight="1">
      <c r="B18" s="266"/>
      <c r="C18" s="267"/>
    </row>
    <row r="19" spans="2:8" ht="17.25">
      <c r="B19" s="268" t="s">
        <v>309</v>
      </c>
      <c r="C19" s="264"/>
    </row>
    <row r="20">
      <c r="B20" s="328" t="str">
        <f>HYPERLINK("https://www.solaire-collectif.fr/ftp/pgiArticle/3/Schematheque_SOCOL_ECS_Collective_Fev2016.pdf","- https://www.solaire-collectif.fr/ftp/pgiArticle/3/Schematheque_SOCOL_ECS_Collective_Fev2016.pdf")</f>
      </c>
      <c r="C20" s="328"/>
    </row>
    <row r="21">
      <c r="B21" s="328" t="str">
        <f>HYPERLINK("https://www.solaire-collectif.fr/achat/les-pac-solaires-sur-capteurs-solaires-non-vitres-ou-pvt/PACSolaires.htm","- https://www.solaire-collectif.fr/achat/les-pac-solaires-sur-capteurs-solaires-non-vitres-ou-pvt/PACSolaires.htm")</f>
      </c>
      <c r="C21" s="328"/>
    </row>
    <row r="22">
      <c r="B22" s="328" t="str">
        <f>HYPERLINK("https://www.solaire-collectif.fr/achat/les-systemes-solaires-combines-pour-les-batiments-collectifs/Livret_SSC.htm","- https://www.solaire-collectif.fr/achat/les-systemes-solaires-combines-pour-les-batiments-collectifs/Livret_SSC.htm")</f>
      </c>
      <c r="C22" s="328"/>
    </row>
    <row r="23" spans="2:8" ht="17.649999999999999" thickBot="1">
      <c r="B23" s="213"/>
      <c r="C23" s="264"/>
    </row>
    <row r="24" spans="2:8" ht="18">
      <c r="B24" s="269" t="s">
        <v>313</v>
      </c>
      <c r="C24" s="270"/>
      <c r="D24" s="271"/>
      <c r="E24" s="272" t="s">
        <v>314</v>
      </c>
      <c r="F24" s="271"/>
      <c r="G24" s="271"/>
      <c r="H24" s="260"/>
    </row>
    <row r="25" ht="30">
      <c r="B25" s="273" t="s">
        <v>315</v>
      </c>
      <c r="C25" s="274" t="str">
        <f>HYPERLINK("#'Suivi instal TYPE 1'!A1","Remplir Suivi instal TYPE1 ►")</f>
      </c>
      <c r="E25" s="101"/>
      <c r="F25" s="95" t="s">
        <v>317</v>
      </c>
      <c r="H25" s="275"/>
    </row>
    <row r="26" ht="15">
      <c r="B26" s="273" t="s">
        <v>318</v>
      </c>
      <c r="C26" s="274" t="str">
        <f>HYPERLINK("#'Suivi instal TYPE 2'!A1","Remplir Suivi instal TYPE2 ►")</f>
      </c>
      <c r="E26" s="276"/>
      <c r="F26" s="95" t="s">
        <v>320</v>
      </c>
      <c r="H26" s="275"/>
    </row>
    <row r="27" ht="15">
      <c r="B27" s="273" t="s">
        <v>321</v>
      </c>
      <c r="C27" s="274" t="str">
        <f>HYPERLINK("#'Suivi instal TYPE 3'!A1","Remplir Suivi instal TYPE3 ►")</f>
      </c>
      <c r="E27" s="277"/>
      <c r="F27" s="95" t="s">
        <v>323</v>
      </c>
      <c r="H27" s="275"/>
    </row>
    <row r="28" ht="15">
      <c r="B28" s="273" t="s">
        <v>324</v>
      </c>
      <c r="C28" s="274" t="str">
        <f>HYPERLINK("#'Suivi instal TYPE 4'!A1","Remplir Suivi instal TYPE4 ►")</f>
      </c>
      <c r="E28" s="278"/>
      <c r="F28" s="95" t="s">
        <v>326</v>
      </c>
      <c r="H28" s="275"/>
    </row>
    <row r="29" spans="2:8" ht="15.4" thickBot="1">
      <c r="B29" s="279"/>
      <c r="C29" s="280"/>
      <c r="D29" s="281"/>
      <c r="E29" s="282"/>
      <c r="F29" s="283"/>
      <c r="G29" s="281"/>
      <c r="H29" s="41"/>
    </row>
    <row r="30" ht="13.15" thickBot="1">
      <c r="B30" s="441" t="str">
        <f>HYPERLINK("https://schematheque.opthelios.com/","► Ouvrir la schémathèque interactive (choix du schéma et du TYPE de suivi)")</f>
      </c>
    </row>
    <row r="31" spans="2:8" ht="17.25">
      <c r="B31" s="285" t="s">
        <v>327</v>
      </c>
      <c r="C31" s="260"/>
    </row>
    <row r="32" spans="2:8" s="286" customFormat="1" ht="25.5" customHeight="1">
      <c r="B32" s="339" t="s">
        <v>328</v>
      </c>
      <c r="C32" s="340"/>
      <c r="E32" s="287"/>
      <c r="F32" s="29"/>
      <c r="G32" s="288"/>
    </row>
    <row r="33" spans="2:7" s="286" customFormat="1" ht="13.35" customHeight="1">
      <c r="B33" s="339" t="s">
        <v>329</v>
      </c>
      <c r="C33" s="340"/>
      <c r="E33" s="289"/>
      <c r="F33" s="289"/>
      <c r="G33" s="288"/>
    </row>
    <row r="34" spans="2:7" s="286" customFormat="1" ht="29.25" customHeight="1">
      <c r="B34" s="339" t="s">
        <v>330</v>
      </c>
      <c r="C34" s="340"/>
      <c r="E34" s="289"/>
      <c r="F34" s="289"/>
      <c r="G34" s="288"/>
    </row>
    <row r="35" spans="2:7" s="286" customFormat="1" ht="28.5" customHeight="1">
      <c r="B35" s="339" t="s">
        <v>331</v>
      </c>
      <c r="C35" s="340"/>
      <c r="E35" s="289"/>
      <c r="F35" s="289"/>
      <c r="G35" s="288"/>
    </row>
    <row r="36" spans="2:7" s="286" customFormat="1" ht="30" customHeight="1">
      <c r="B36" s="339" t="s">
        <v>332</v>
      </c>
      <c r="C36" s="340"/>
      <c r="E36" s="289"/>
      <c r="F36" s="289"/>
      <c r="G36" s="288"/>
    </row>
    <row r="37" spans="2:7" s="286" customFormat="1" ht="17.100000000000001" customHeight="1">
      <c r="B37" s="339" t="s">
        <v>333</v>
      </c>
      <c r="C37" s="340"/>
      <c r="E37" s="289"/>
      <c r="F37" s="289"/>
      <c r="G37" s="288"/>
    </row>
    <row r="38" spans="2:7" s="286" customFormat="1" ht="33" customHeight="1" thickBot="1">
      <c r="B38" s="341" t="s">
        <v>334</v>
      </c>
      <c r="C38" s="342"/>
      <c r="E38" s="289"/>
      <c r="F38" s="289"/>
      <c r="G38" s="288"/>
    </row>
    <row r="39" spans="2:7" ht="14.25">
      <c r="E39" s="289"/>
      <c r="F39" s="289"/>
    </row>
    <row r="40" spans="2:7" ht="14.25">
      <c r="E40" s="289"/>
      <c r="F40" s="289"/>
    </row>
    <row r="41" spans="2:7" ht="12" customHeight="1">
      <c r="E41" s="289"/>
      <c r="F41" s="289"/>
    </row>
    <row r="42" spans="2:7" ht="14.25">
      <c r="E42" s="289"/>
      <c r="F42" s="289"/>
    </row>
    <row r="43" spans="2:7" ht="14.25">
      <c r="E43" s="289"/>
      <c r="F43" s="289"/>
    </row>
    <row r="44" spans="2:7" ht="14.25">
      <c r="E44" s="289"/>
      <c r="F44" s="289"/>
    </row>
    <row r="45" spans="2:7" ht="14.25">
      <c r="E45" s="289"/>
      <c r="F45" s="95"/>
    </row>
    <row r="46" spans="2:7" ht="14.25">
      <c r="E46" s="289"/>
      <c r="F46" s="95"/>
    </row>
    <row r="47" spans="2:7" ht="14.25">
      <c r="E47" s="289"/>
    </row>
    <row r="48" spans="2:7" ht="14.25">
      <c r="E48" s="290"/>
    </row>
    <row r="49" spans="5:5" ht="14.25">
      <c r="E49" s="290"/>
    </row>
  </sheetData>
  <mergeCells count="15">
    <mergeCell ref="B36:C36"/>
    <mergeCell ref="B37:C37"/>
    <mergeCell ref="B38:C38"/>
    <mergeCell ref="B21:C21"/>
    <mergeCell ref="B22:C22"/>
    <mergeCell ref="B32:C32"/>
    <mergeCell ref="B33:C33"/>
    <mergeCell ref="B34:C34"/>
    <mergeCell ref="B35:C35"/>
    <mergeCell ref="B20:C20"/>
    <mergeCell ref="B2:C2"/>
    <mergeCell ref="B3:C3"/>
    <mergeCell ref="B5:C5"/>
    <mergeCell ref="B6:C6"/>
    <mergeCell ref="B17:C17"/>
  </mergeCells>
  <hyperlinks>
    <hyperlink ref="B19" r:id="rId1" display="(nomenclatures : https://www.solaire-collectif.fr/ftp/pgiArticle/3/Schematheque_SOCOL_ECS_Collective_Fev2016.pdf)" xr:uid="{67066EEE-E485-469B-856F-8C9C5C012345}"/>
  </hyperlinks>
  <pageMargins left="0.78740157499999996" right="0.78740157499999996" top="0.984251969" bottom="0.984251969" header="0.4921259845" footer="0.4921259845"/>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60AE-1668-462F-A421-6B85CBA84418}">
  <sheetPr codeName="Feuil3"/>
  <dimension ref="B1:T41"/>
  <sheetViews>
    <sheetView topLeftCell="A7" zoomScale="90" zoomScaleNormal="90" workbookViewId="0">
      <selection activeCell="L11" sqref="L11"/>
    </sheetView>
  </sheetViews>
  <sheetFormatPr baseColWidth="10" defaultColWidth="11.3984375" defaultRowHeight="12.75"/>
  <cols>
    <col min="1" max="1" width="1" style="29" customWidth="1"/>
    <col min="2" max="2" width="11.3984375" style="31" customWidth="1"/>
    <col min="3" max="3" width="11.3984375" style="30" customWidth="1"/>
    <col min="4" max="4" width="17.3984375" style="29" customWidth="1"/>
    <col min="5" max="5" width="12.265625" style="29" customWidth="1"/>
    <col min="6" max="6" width="13" style="29" customWidth="1"/>
    <col min="7" max="11" width="11.3984375" style="29"/>
    <col min="12" max="12" width="13.73046875" style="29" customWidth="1"/>
    <col min="13" max="16" width="15" style="29" customWidth="1"/>
    <col min="17" max="17" width="14.265625" style="29" customWidth="1"/>
    <col min="18" max="16384" width="11.3984375" style="29"/>
  </cols>
  <sheetData>
    <row r="1" ht="13.15" thickBot="1">
      <c r="C1" s="441" t="str">
        <f>HYPERLINK("#'Sommaire'!A1","◄ Sommaire")</f>
      </c>
    </row>
    <row r="2" spans="2:19" ht="12.75" customHeight="1">
      <c r="C2" s="348" t="s">
        <v>158</v>
      </c>
      <c r="D2" s="349"/>
      <c r="E2" s="349"/>
      <c r="F2" s="349"/>
      <c r="G2" s="349"/>
      <c r="H2" s="349"/>
      <c r="I2" s="349"/>
      <c r="J2" s="349"/>
      <c r="K2" s="350"/>
    </row>
    <row r="3" spans="2:19" ht="13.5" customHeight="1" thickBot="1">
      <c r="C3" s="351"/>
      <c r="D3" s="352"/>
      <c r="E3" s="352"/>
      <c r="F3" s="352"/>
      <c r="G3" s="352"/>
      <c r="H3" s="352"/>
      <c r="I3" s="352"/>
      <c r="J3" s="352"/>
      <c r="K3" s="353"/>
    </row>
    <row r="4" spans="2:19" ht="13.5" customHeight="1">
      <c r="C4" s="100" t="s">
        <v>157</v>
      </c>
    </row>
    <row r="5" spans="2:19" ht="13.5" customHeight="1"/>
    <row r="6" spans="2:19" ht="13.15" thickBot="1"/>
    <row r="7" spans="2:19" ht="14.25" customHeight="1">
      <c r="C7" s="354" t="s">
        <v>156</v>
      </c>
      <c r="D7" s="355"/>
      <c r="E7" s="356"/>
      <c r="F7" s="357"/>
      <c r="G7" s="357"/>
      <c r="H7" s="357"/>
      <c r="I7" s="357"/>
      <c r="J7" s="358"/>
      <c r="L7" s="96"/>
    </row>
    <row r="8" spans="2:19" ht="14.25" customHeight="1">
      <c r="C8" s="343" t="s">
        <v>155</v>
      </c>
      <c r="D8" s="344"/>
      <c r="E8" s="345"/>
      <c r="F8" s="346"/>
      <c r="G8" s="346"/>
      <c r="H8" s="346"/>
      <c r="I8" s="346"/>
      <c r="J8" s="347"/>
    </row>
    <row r="9" spans="2:19" ht="14.25" customHeight="1">
      <c r="C9" s="343" t="s">
        <v>154</v>
      </c>
      <c r="D9" s="344"/>
      <c r="E9" s="345"/>
      <c r="F9" s="346"/>
      <c r="G9" s="346"/>
      <c r="H9" s="346"/>
      <c r="I9" s="346"/>
      <c r="J9" s="347"/>
    </row>
    <row r="10" spans="2:19" ht="23.25" customHeight="1">
      <c r="C10" s="343" t="s">
        <v>153</v>
      </c>
      <c r="D10" s="344"/>
      <c r="E10" s="345"/>
      <c r="F10" s="346"/>
      <c r="G10" s="346"/>
      <c r="H10" s="346"/>
      <c r="I10" s="346"/>
      <c r="J10" s="347"/>
    </row>
    <row r="11" spans="2:19" ht="14.25" customHeight="1">
      <c r="C11" s="359" t="s">
        <v>152</v>
      </c>
      <c r="D11" s="360"/>
      <c r="E11" s="345"/>
      <c r="F11" s="361"/>
      <c r="G11" s="361"/>
      <c r="H11" s="361"/>
      <c r="I11" s="361"/>
      <c r="J11" s="362"/>
    </row>
    <row r="12" spans="2:19" ht="14.25" customHeight="1">
      <c r="C12" s="343" t="s">
        <v>151</v>
      </c>
      <c r="D12" s="344"/>
      <c r="E12" s="345"/>
      <c r="F12" s="346"/>
      <c r="G12" s="346"/>
      <c r="H12" s="346"/>
      <c r="I12" s="346"/>
      <c r="J12" s="347"/>
    </row>
    <row r="13" spans="2:19" ht="13.5" customHeight="1" thickBot="1">
      <c r="C13" s="99" t="s">
        <v>150</v>
      </c>
      <c r="D13" s="98"/>
      <c r="E13" s="363"/>
      <c r="F13" s="364"/>
      <c r="G13" s="364"/>
      <c r="H13" s="364"/>
      <c r="I13" s="364"/>
      <c r="J13" s="365"/>
    </row>
    <row r="14" spans="2:19" ht="13.15" thickBot="1">
      <c r="B14" s="97"/>
      <c r="C14" s="96"/>
      <c r="M14" s="95"/>
      <c r="N14" s="95"/>
      <c r="O14" s="95"/>
    </row>
    <row r="15" spans="2:19" ht="32.25" customHeight="1" thickBot="1">
      <c r="F15" s="378" t="s">
        <v>338</v>
      </c>
      <c r="G15" s="379"/>
      <c r="H15" s="380"/>
      <c r="L15" s="94" t="s">
        <v>149</v>
      </c>
      <c r="M15" s="93" t="s">
        <v>148</v>
      </c>
      <c r="N15" s="381" t="s">
        <v>357</v>
      </c>
      <c r="O15" s="382"/>
      <c r="P15" s="383"/>
      <c r="Q15" s="91"/>
      <c r="R15" s="91"/>
      <c r="S15" s="91"/>
    </row>
    <row r="16" spans="2:19" ht="20.25">
      <c r="C16" s="90" t="s">
        <v>147</v>
      </c>
      <c r="D16" s="88" t="s">
        <v>146</v>
      </c>
      <c r="E16" s="88" t="s">
        <v>145</v>
      </c>
      <c r="F16" s="88" t="s">
        <v>144</v>
      </c>
      <c r="G16" s="293" t="s">
        <v>339</v>
      </c>
      <c r="H16" s="294" t="s">
        <v>340</v>
      </c>
      <c r="I16" s="88" t="s">
        <v>143</v>
      </c>
      <c r="J16" s="88" t="s">
        <v>142</v>
      </c>
      <c r="K16" s="88" t="s">
        <v>408</v>
      </c>
      <c r="L16" s="88" t="s">
        <v>407</v>
      </c>
      <c r="M16" s="88" t="s">
        <v>406</v>
      </c>
      <c r="N16" s="89" t="s">
        <v>409</v>
      </c>
      <c r="O16" s="89" t="s">
        <v>410</v>
      </c>
      <c r="P16" s="89" t="s">
        <v>411</v>
      </c>
      <c r="Q16" s="88" t="s">
        <v>412</v>
      </c>
      <c r="R16" s="87" t="s">
        <v>413</v>
      </c>
    </row>
    <row r="17" spans="3:18" ht="82.5" customHeight="1" thickBot="1">
      <c r="C17" s="86"/>
      <c r="D17" s="83"/>
      <c r="E17" s="85" t="s">
        <v>141</v>
      </c>
      <c r="F17" s="83" t="s">
        <v>140</v>
      </c>
      <c r="G17" s="83" t="s">
        <v>341</v>
      </c>
      <c r="H17" s="83" t="s">
        <v>342</v>
      </c>
      <c r="I17" s="83" t="s">
        <v>134</v>
      </c>
      <c r="J17" s="83" t="s">
        <v>134</v>
      </c>
      <c r="K17" s="85" t="s">
        <v>139</v>
      </c>
      <c r="L17" s="83" t="s">
        <v>138</v>
      </c>
      <c r="M17" s="83" t="s">
        <v>137</v>
      </c>
      <c r="N17" s="84" t="s">
        <v>136</v>
      </c>
      <c r="O17" s="83" t="s">
        <v>355</v>
      </c>
      <c r="P17" s="83" t="s">
        <v>356</v>
      </c>
      <c r="Q17" s="83" t="s">
        <v>135</v>
      </c>
      <c r="R17" s="82" t="s">
        <v>134</v>
      </c>
    </row>
    <row r="18" spans="3:18" ht="20.25">
      <c r="C18" s="117" t="s">
        <v>133</v>
      </c>
      <c r="D18" s="118"/>
      <c r="E18" s="119">
        <v>81</v>
      </c>
      <c r="F18" s="120">
        <v>81</v>
      </c>
      <c r="G18" s="295"/>
      <c r="H18" s="296"/>
      <c r="I18" s="88"/>
      <c r="J18" s="120"/>
      <c r="K18" s="119"/>
      <c r="L18" s="122"/>
      <c r="M18" s="122"/>
      <c r="N18" s="120"/>
      <c r="O18" s="295"/>
      <c r="P18" s="296"/>
      <c r="Q18" s="120"/>
      <c r="R18" s="123"/>
    </row>
    <row r="19" ht="14.25">
      <c r="C19" s="297" t="s">
        <v>343</v>
      </c>
      <c r="D19" s="75"/>
      <c r="E19" s="76">
        <v>92</v>
      </c>
      <c r="F19" s="73">
        <v>100</v>
      </c>
      <c r="G19" s="291">
        <f>IF(F19="","",F19*0.85)</f>
      </c>
      <c r="H19" s="292">
        <f>IF(F19="","",F19*1.15)</f>
      </c>
      <c r="I19" s="72">
        <f>IF(OR(E19="",E18=""),"",E19-E18)</f>
      </c>
      <c r="J19" s="71">
        <f>IF(OR(I19="",N(F19)=0),"",(I19-F19)/F19)</f>
      </c>
      <c r="K19" s="70">
        <v>1470</v>
      </c>
      <c r="L19" s="69"/>
      <c r="M19" s="69"/>
      <c r="N19" s="68">
        <v>1600</v>
      </c>
      <c r="O19" s="291">
        <f>IF(N19="","",N19*0.8)</f>
      </c>
      <c r="P19" s="292">
        <f>IF(N19="","",N19*1.2)</f>
      </c>
      <c r="Q19" s="67">
        <f>IF(OR(K19="",K18=""),"",(K19-K18)+IF(OR(L19="",L18=""),0,L19-L18)+IF(OR(M19="",M18=""),0,M19-M18))</f>
      </c>
      <c r="R19" s="66">
        <f>IF(OR(Q19="",N(N19)=0),"",(Q19-N19)/N19)</f>
      </c>
    </row>
    <row r="20" ht="14.25">
      <c r="C20" s="297" t="s">
        <v>344</v>
      </c>
      <c r="D20" s="75"/>
      <c r="E20" s="76">
        <v>100</v>
      </c>
      <c r="F20" s="73">
        <v>123</v>
      </c>
      <c r="G20" s="291">
        <f>IF(F20="","",F20*0.85)</f>
      </c>
      <c r="H20" s="292">
        <f>IF(F20="","",F20*1.15)</f>
      </c>
      <c r="I20" s="72">
        <f>IF(OR(E20="",E19=""),"",E20-E19)</f>
      </c>
      <c r="J20" s="71">
        <f>IF(OR(I20="",N(F20)=0),"",(I20-F20)/F20)</f>
      </c>
      <c r="K20" s="70">
        <v>1840</v>
      </c>
      <c r="L20" s="69"/>
      <c r="M20" s="69"/>
      <c r="N20" s="68">
        <v>2100</v>
      </c>
      <c r="O20" s="291">
        <f>IF(N20="","",N20*0.8)</f>
      </c>
      <c r="P20" s="292">
        <f>IF(N20="","",N20*1.2)</f>
      </c>
      <c r="Q20" s="67">
        <f>IF(OR(K20="",K19=""),"",(K20-K19)+IF(OR(L20="",L19=""),0,L20-L19)+IF(OR(M20="",M19=""),0,M20-M19))</f>
      </c>
      <c r="R20" s="66">
        <f>IF(OR(Q20="",N(N20)=0),"",(Q20-N20)/N20)</f>
      </c>
    </row>
    <row r="21" ht="14.25">
      <c r="C21" s="297" t="s">
        <v>345</v>
      </c>
      <c r="D21" s="75"/>
      <c r="E21" s="76">
        <v>107</v>
      </c>
      <c r="F21" s="73">
        <v>112</v>
      </c>
      <c r="G21" s="291">
        <f>IF(F21="","",F21*0.85)</f>
      </c>
      <c r="H21" s="292">
        <f>IF(F21="","",F21*1.15)</f>
      </c>
      <c r="I21" s="72">
        <f>IF(OR(E21="",E20=""),"",E21-E20)</f>
      </c>
      <c r="J21" s="71">
        <f>IF(OR(I21="",N(F21)=0),"",(I21-F21)/F21)</f>
      </c>
      <c r="K21" s="70"/>
      <c r="L21" s="69"/>
      <c r="M21" s="69"/>
      <c r="N21" s="68"/>
      <c r="O21" s="291">
        <f>IF(N21="","",N21*0.8)</f>
      </c>
      <c r="P21" s="292">
        <f>IF(N21="","",N21*1.2)</f>
      </c>
      <c r="Q21" s="67">
        <f>IF(OR(K21="",K20=""),"",(K21-K20)+IF(OR(L21="",L20=""),0,L21-L20)+IF(OR(M21="",M20=""),0,M21-M20))</f>
      </c>
      <c r="R21" s="66">
        <f>IF(OR(Q21="",N(N21)=0),"",(Q21-N21)/N21)</f>
      </c>
    </row>
    <row r="22" ht="14.25">
      <c r="C22" s="297" t="s">
        <v>346</v>
      </c>
      <c r="D22" s="75"/>
      <c r="E22" s="76">
        <v>127</v>
      </c>
      <c r="F22" s="73">
        <v>137</v>
      </c>
      <c r="G22" s="291">
        <f>IF(F22="","",F22*0.85)</f>
      </c>
      <c r="H22" s="292">
        <f>IF(F22="","",F22*1.15)</f>
      </c>
      <c r="I22" s="72">
        <f>IF(OR(E22="",E21=""),"",E22-E21)</f>
      </c>
      <c r="J22" s="71">
        <f>IF(OR(I22="",N(F22)=0),"",(I22-F22)/F22)</f>
      </c>
      <c r="K22" s="70"/>
      <c r="L22" s="69"/>
      <c r="M22" s="69"/>
      <c r="N22" s="68"/>
      <c r="O22" s="291">
        <f>IF(N22="","",N22*0.8)</f>
      </c>
      <c r="P22" s="292">
        <f>IF(N22="","",N22*1.2)</f>
      </c>
      <c r="Q22" s="67">
        <f>IF(OR(K22="",K21=""),"",(K22-K21)+IF(OR(L22="",L21=""),0,L22-L21)+IF(OR(M22="",M21=""),0,M22-M21))</f>
      </c>
      <c r="R22" s="66">
        <f>IF(OR(Q22="",N(N22)=0),"",(Q22-N22)/N22)</f>
      </c>
    </row>
    <row r="23" ht="14.25">
      <c r="C23" s="297" t="s">
        <v>347</v>
      </c>
      <c r="D23" s="75"/>
      <c r="E23" s="76">
        <v>158</v>
      </c>
      <c r="F23" s="73">
        <v>157</v>
      </c>
      <c r="G23" s="291">
        <f>IF(F23="","",F23*0.85)</f>
      </c>
      <c r="H23" s="292">
        <f>IF(F23="","",F23*1.15)</f>
      </c>
      <c r="I23" s="72">
        <f>IF(OR(E23="",E22=""),"",E23-E22)</f>
      </c>
      <c r="J23" s="71">
        <f>IF(OR(I23="",N(F23)=0),"",(I23-F23)/F23)</f>
      </c>
      <c r="K23" s="70"/>
      <c r="L23" s="69"/>
      <c r="M23" s="69"/>
      <c r="N23" s="68"/>
      <c r="O23" s="291">
        <f>IF(N23="","",N23*0.8)</f>
      </c>
      <c r="P23" s="292">
        <f>IF(N23="","",N23*1.2)</f>
      </c>
      <c r="Q23" s="67">
        <f>IF(OR(K23="",K22=""),"",(K23-K22)+IF(OR(L23="",L22=""),0,L23-L22)+IF(OR(M23="",M22=""),0,M23-M22))</f>
      </c>
      <c r="R23" s="66">
        <f>IF(OR(Q23="",N(N23)=0),"",(Q23-N23)/N23)</f>
      </c>
    </row>
    <row r="24" ht="14.25">
      <c r="C24" s="297" t="s">
        <v>348</v>
      </c>
      <c r="D24" s="75"/>
      <c r="E24" s="74">
        <v>224</v>
      </c>
      <c r="F24" s="73">
        <v>225</v>
      </c>
      <c r="G24" s="291">
        <f>IF(F24="","",F24*0.85)</f>
      </c>
      <c r="H24" s="292">
        <f>IF(F24="","",F24*1.15)</f>
      </c>
      <c r="I24" s="72">
        <f>IF(OR(E24="",E23=""),"",E24-E23)</f>
      </c>
      <c r="J24" s="71">
        <f>IF(OR(I24="",N(F24)=0),"",(I24-F24)/F24)</f>
      </c>
      <c r="K24" s="70"/>
      <c r="L24" s="69"/>
      <c r="M24" s="69"/>
      <c r="N24" s="68"/>
      <c r="O24" s="291">
        <f>IF(N24="","",N24*0.8)</f>
      </c>
      <c r="P24" s="292">
        <f>IF(N24="","",N24*1.2)</f>
      </c>
      <c r="Q24" s="67">
        <f>IF(OR(K24="",K23=""),"",(K24-K23)+IF(OR(L24="",L23=""),0,L24-L23)+IF(OR(M24="",M23=""),0,M24-M23))</f>
      </c>
      <c r="R24" s="66">
        <f>IF(OR(Q24="",N(N24)=0),"",(Q24-N24)/N24)</f>
      </c>
    </row>
    <row r="25" ht="14.25">
      <c r="C25" s="297" t="s">
        <v>349</v>
      </c>
      <c r="D25" s="75"/>
      <c r="E25" s="74">
        <v>268</v>
      </c>
      <c r="F25" s="73">
        <v>271</v>
      </c>
      <c r="G25" s="291">
        <f>IF(F25="","",F25*0.85)</f>
      </c>
      <c r="H25" s="292">
        <f>IF(F25="","",F25*1.15)</f>
      </c>
      <c r="I25" s="72">
        <f>IF(OR(E25="",E24=""),"",E25-E24)</f>
      </c>
      <c r="J25" s="71">
        <f>IF(OR(I25="",N(F25)=0),"",(I25-F25)/F25)</f>
      </c>
      <c r="K25" s="70"/>
      <c r="L25" s="69"/>
      <c r="M25" s="69"/>
      <c r="N25" s="68"/>
      <c r="O25" s="291">
        <f>IF(N25="","",N25*0.8)</f>
      </c>
      <c r="P25" s="292">
        <f>IF(N25="","",N25*1.2)</f>
      </c>
      <c r="Q25" s="67">
        <f>IF(OR(K25="",K24=""),"",(K25-K24)+IF(OR(L25="",L24=""),0,L25-L24)+IF(OR(M25="",M24=""),0,M25-M24))</f>
      </c>
      <c r="R25" s="66">
        <f>IF(OR(Q25="",N(N25)=0),"",(Q25-N25)/N25)</f>
      </c>
    </row>
    <row r="26" ht="14.25">
      <c r="C26" s="297" t="s">
        <v>350</v>
      </c>
      <c r="D26" s="75"/>
      <c r="E26" s="74">
        <v>275</v>
      </c>
      <c r="F26" s="73">
        <v>295</v>
      </c>
      <c r="G26" s="291">
        <f>IF(F26="","",F26*0.85)</f>
      </c>
      <c r="H26" s="292">
        <f>IF(F26="","",F26*1.15)</f>
      </c>
      <c r="I26" s="72">
        <f>IF(OR(E26="",E25=""),"",E26-E25)</f>
      </c>
      <c r="J26" s="71">
        <f>IF(OR(I26="",N(F26)=0),"",(I26-F26)/F26)</f>
      </c>
      <c r="K26" s="70"/>
      <c r="L26" s="69"/>
      <c r="M26" s="69"/>
      <c r="N26" s="68"/>
      <c r="O26" s="291">
        <f>IF(N26="","",N26*0.8)</f>
      </c>
      <c r="P26" s="292">
        <f>IF(N26="","",N26*1.2)</f>
      </c>
      <c r="Q26" s="67">
        <f>IF(OR(K26="",K25=""),"",(K26-K25)+IF(OR(L26="",L25=""),0,L26-L25)+IF(OR(M26="",M25=""),0,M26-M25))</f>
      </c>
      <c r="R26" s="66">
        <f>IF(OR(Q26="",N(N26)=0),"",(Q26-N26)/N26)</f>
      </c>
    </row>
    <row r="27" ht="14.25">
      <c r="C27" s="297" t="s">
        <v>351</v>
      </c>
      <c r="D27" s="75"/>
      <c r="E27" s="74">
        <v>324</v>
      </c>
      <c r="F27" s="73">
        <v>314</v>
      </c>
      <c r="G27" s="291">
        <f>IF(F27="","",F27*0.85)</f>
      </c>
      <c r="H27" s="292">
        <f>IF(F27="","",F27*1.15)</f>
      </c>
      <c r="I27" s="72">
        <f>IF(OR(E27="",E26=""),"",E27-E26)</f>
      </c>
      <c r="J27" s="71">
        <f>IF(OR(I27="",N(F27)=0),"",(I27-F27)/F27)</f>
      </c>
      <c r="K27" s="70"/>
      <c r="L27" s="69"/>
      <c r="M27" s="69"/>
      <c r="N27" s="68"/>
      <c r="O27" s="291">
        <f>IF(N27="","",N27*0.8)</f>
      </c>
      <c r="P27" s="292">
        <f>IF(N27="","",N27*1.2)</f>
      </c>
      <c r="Q27" s="67">
        <f>IF(OR(K27="",K26=""),"",(K27-K26)+IF(OR(L27="",L26=""),0,L27-L26)+IF(OR(M27="",M26=""),0,M27-M26))</f>
      </c>
      <c r="R27" s="66">
        <f>IF(OR(Q27="",N(N27)=0),"",(Q27-N27)/N27)</f>
      </c>
    </row>
    <row r="28" ht="14.25">
      <c r="C28" s="297" t="s">
        <v>352</v>
      </c>
      <c r="D28" s="75"/>
      <c r="E28" s="74">
        <v>359</v>
      </c>
      <c r="F28" s="73">
        <v>355</v>
      </c>
      <c r="G28" s="291">
        <f>IF(F28="","",F28*0.85)</f>
      </c>
      <c r="H28" s="292">
        <f>IF(F28="","",F28*1.15)</f>
      </c>
      <c r="I28" s="72">
        <f>IF(OR(E28="",E27=""),"",E28-E27)</f>
      </c>
      <c r="J28" s="71">
        <f>IF(OR(I28="",N(F28)=0),"",(I28-F28)/F28)</f>
      </c>
      <c r="K28" s="70"/>
      <c r="L28" s="69"/>
      <c r="M28" s="69"/>
      <c r="N28" s="68"/>
      <c r="O28" s="291">
        <f>IF(N28="","",N28*0.8)</f>
      </c>
      <c r="P28" s="292">
        <f>IF(N28="","",N28*1.2)</f>
      </c>
      <c r="Q28" s="67">
        <f>IF(OR(K28="",K27=""),"",(K28-K27)+IF(OR(L28="",L27=""),0,L28-L27)+IF(OR(M28="",M27=""),0,M28-M27))</f>
      </c>
      <c r="R28" s="66">
        <f>IF(OR(Q28="",N(N28)=0),"",(Q28-N28)/N28)</f>
      </c>
    </row>
    <row r="29" ht="14.25">
      <c r="C29" s="297" t="s">
        <v>353</v>
      </c>
      <c r="D29" s="75"/>
      <c r="E29" s="74">
        <v>401</v>
      </c>
      <c r="F29" s="73">
        <v>400</v>
      </c>
      <c r="G29" s="291">
        <f>IF(F29="","",F29*0.85)</f>
      </c>
      <c r="H29" s="292">
        <f>IF(F29="","",F29*1.15)</f>
      </c>
      <c r="I29" s="72">
        <f>IF(OR(E29="",E28=""),"",E29-E28)</f>
      </c>
      <c r="J29" s="71">
        <f>IF(OR(I29="",N(F29)=0),"",(I29-F29)/F29)</f>
      </c>
      <c r="K29" s="70"/>
      <c r="L29" s="69"/>
      <c r="M29" s="69"/>
      <c r="N29" s="68"/>
      <c r="O29" s="291">
        <f>IF(N29="","",N29*0.8)</f>
      </c>
      <c r="P29" s="292">
        <f>IF(N29="","",N29*1.2)</f>
      </c>
      <c r="Q29" s="67">
        <f>IF(OR(K29="",K28=""),"",(K29-K28)+IF(OR(L29="",L28=""),0,L29-L28)+IF(OR(M29="",M28=""),0,M29-M28))</f>
      </c>
      <c r="R29" s="66">
        <f>IF(OR(Q29="",N(N29)=0),"",(Q29-N29)/N29)</f>
      </c>
    </row>
    <row r="30" ht="14.65" thickBot="1">
      <c r="C30" s="298" t="s">
        <v>354</v>
      </c>
      <c r="D30" s="65"/>
      <c r="E30" s="64">
        <v>465</v>
      </c>
      <c r="F30" s="63">
        <v>462</v>
      </c>
      <c r="G30" s="299">
        <f>IF(F30="","",F30*0.85)</f>
      </c>
      <c r="H30" s="292">
        <f>IF(F30="","",F30*1.15)</f>
      </c>
      <c r="I30" s="62">
        <f>IF(OR(E30="",E29=""),"",E30-E29)</f>
      </c>
      <c r="J30" s="61">
        <f>IF(OR(I30="",N(F30)=0),"",(I30-F30)/F30)</f>
      </c>
      <c r="K30" s="60"/>
      <c r="L30" s="59"/>
      <c r="M30" s="59"/>
      <c r="N30" s="58"/>
      <c r="O30" s="291">
        <f>IF(N30="","",N30*0.8)</f>
      </c>
      <c r="P30" s="292">
        <f>IF(N30="","",N30*1.2)</f>
      </c>
      <c r="Q30" s="57">
        <f>IF(OR(K30="",K29=""),"",(K30-K29)+IF(OR(L30="",L29=""),0,L30-L29)+IF(OR(M30="",M29=""),0,M30-M29))</f>
      </c>
      <c r="R30" s="66">
        <f>IF(OR(Q30="",N(N30)=0),"",(Q30-N30)/N30)</f>
      </c>
    </row>
    <row r="31" ht="12.75" customHeight="1" thickBot="1">
      <c r="C31" s="55" t="s">
        <v>132</v>
      </c>
      <c r="D31" s="54"/>
      <c r="E31" s="53"/>
      <c r="F31" s="52">
        <f>SUM(F19:F30)</f>
      </c>
      <c r="G31" s="52">
        <f>SUM(G19:G30)</f>
      </c>
      <c r="H31" s="52">
        <f>SUM(H19:H30)</f>
      </c>
      <c r="I31" s="51">
        <f>SUM(I19:I30)</f>
      </c>
      <c r="J31" s="50">
        <f>IFERROR((SUM(I19:I30)-SUMPRODUCT(--ISNUMBER(I19:I30),F19:F30))/SUMPRODUCT(--ISNUMBER(I19:I30),F19:F30),"")</f>
      </c>
      <c r="K31" s="49"/>
      <c r="L31" s="49"/>
      <c r="M31" s="49"/>
      <c r="N31" s="49">
        <f>SUM(N19:N30)</f>
      </c>
      <c r="O31" s="49">
        <f>SUM(O19:O30)</f>
      </c>
      <c r="P31" s="48">
        <f>SUM(P19:P30)</f>
      </c>
      <c r="Q31" s="47">
        <f>SUM(Q19:Q30)</f>
      </c>
      <c r="R31" s="66">
        <f>IFERROR((SUM(Q19:Q30)-SUMPRODUCT(--ISNUMBER(Q19:Q30),N19:N30))/SUMPRODUCT(--ISNUMBER(Q19:Q30),N19:N30),"")</f>
      </c>
    </row>
    <row r="32" ht="19.5" customHeight="1" thickBot="1">
      <c r="C32" s="366" t="s">
        <v>131</v>
      </c>
      <c r="D32" s="367"/>
      <c r="E32" s="367"/>
      <c r="F32" s="367"/>
      <c r="G32" s="367"/>
      <c r="H32" s="367"/>
      <c r="I32" s="367"/>
      <c r="J32" s="367"/>
      <c r="K32" s="367"/>
      <c r="L32" s="367"/>
      <c r="M32" s="368"/>
      <c r="N32" s="43"/>
      <c r="O32" s="43"/>
      <c r="P32" s="43"/>
      <c r="Q32" s="42">
        <f>IF(N($E$12)=0,"",Q31/$E$12)</f>
      </c>
      <c r="R32" s="41"/>
    </row>
    <row r="33" spans="3:20" ht="19.5" customHeight="1">
      <c r="C33" s="40"/>
      <c r="D33" s="39"/>
      <c r="E33" s="39"/>
      <c r="F33" s="39"/>
      <c r="G33" s="39"/>
      <c r="H33" s="39"/>
      <c r="I33" s="39"/>
      <c r="J33" s="39"/>
      <c r="K33" s="39"/>
      <c r="L33" s="39"/>
      <c r="M33" s="39"/>
      <c r="N33" s="39"/>
      <c r="O33" s="39"/>
      <c r="P33" s="38"/>
    </row>
    <row r="34" spans="3:20" ht="15" customHeight="1">
      <c r="C34" s="37" t="s">
        <v>130</v>
      </c>
      <c r="D34" s="36"/>
      <c r="E34" s="36"/>
      <c r="F34" s="36"/>
      <c r="G34" s="36"/>
      <c r="H34" s="36"/>
      <c r="I34" s="36"/>
      <c r="J34" s="36"/>
      <c r="K34" s="36"/>
      <c r="L34" s="36"/>
      <c r="M34" s="36"/>
      <c r="N34" s="36"/>
      <c r="O34" s="36"/>
      <c r="P34" s="36"/>
      <c r="Q34" s="36"/>
      <c r="S34" s="36"/>
      <c r="T34" s="36"/>
    </row>
    <row r="35" spans="3:20" ht="86.25" customHeight="1">
      <c r="C35" s="369" t="s">
        <v>129</v>
      </c>
      <c r="D35" s="370"/>
      <c r="E35" s="370"/>
      <c r="F35" s="370"/>
      <c r="G35" s="370"/>
      <c r="H35" s="370"/>
      <c r="I35" s="370"/>
      <c r="J35" s="370"/>
      <c r="K35" s="370"/>
      <c r="L35" s="371"/>
      <c r="M35" s="371"/>
      <c r="N35" s="371"/>
      <c r="O35" s="371"/>
      <c r="P35" s="371"/>
      <c r="Q35" s="372"/>
    </row>
    <row r="36" spans="3:20" ht="13.5">
      <c r="C36" s="35"/>
      <c r="D36" s="34"/>
      <c r="E36" s="34"/>
      <c r="F36" s="34"/>
      <c r="G36" s="34"/>
      <c r="H36" s="34"/>
      <c r="I36" s="34"/>
      <c r="J36" s="34"/>
      <c r="K36" s="34"/>
    </row>
    <row r="37" spans="3:20" ht="13.5">
      <c r="C37" s="33" t="s">
        <v>128</v>
      </c>
    </row>
    <row r="38" spans="3:20" ht="13.5">
      <c r="C38" s="373" t="s">
        <v>127</v>
      </c>
      <c r="D38" s="374"/>
      <c r="E38" s="374"/>
      <c r="F38" s="374"/>
      <c r="G38" s="374"/>
      <c r="H38" s="374"/>
      <c r="I38" s="374"/>
      <c r="J38" s="374"/>
      <c r="K38" s="374"/>
      <c r="L38" s="371"/>
      <c r="M38" s="371"/>
      <c r="N38" s="371"/>
      <c r="O38" s="371"/>
      <c r="P38" s="371"/>
      <c r="Q38" s="372"/>
    </row>
    <row r="40" spans="3:20" ht="13.5">
      <c r="C40" s="33" t="s">
        <v>126</v>
      </c>
    </row>
    <row r="41" spans="3:20" ht="30.75" customHeight="1">
      <c r="C41" s="375" t="s">
        <v>125</v>
      </c>
      <c r="D41" s="376"/>
      <c r="E41" s="376"/>
      <c r="F41" s="376"/>
      <c r="G41" s="376"/>
      <c r="H41" s="376"/>
      <c r="I41" s="376"/>
      <c r="J41" s="376"/>
      <c r="K41" s="376"/>
      <c r="L41" s="376"/>
      <c r="M41" s="376"/>
      <c r="N41" s="376"/>
      <c r="O41" s="376"/>
      <c r="P41" s="376"/>
      <c r="Q41" s="377"/>
      <c r="R41" s="32"/>
    </row>
  </sheetData>
  <mergeCells count="20">
    <mergeCell ref="E13:J13"/>
    <mergeCell ref="C32:M32"/>
    <mergeCell ref="C35:Q35"/>
    <mergeCell ref="C38:Q38"/>
    <mergeCell ref="C41:Q41"/>
    <mergeCell ref="F15:H15"/>
    <mergeCell ref="N15:P15"/>
    <mergeCell ref="C10:D10"/>
    <mergeCell ref="E10:J10"/>
    <mergeCell ref="C11:D11"/>
    <mergeCell ref="E11:J11"/>
    <mergeCell ref="C12:D12"/>
    <mergeCell ref="E12:J12"/>
    <mergeCell ref="C9:D9"/>
    <mergeCell ref="E9:J9"/>
    <mergeCell ref="C2:K3"/>
    <mergeCell ref="C7:D7"/>
    <mergeCell ref="E7:J7"/>
    <mergeCell ref="C8:D8"/>
    <mergeCell ref="E8:J8"/>
  </mergeCells>
  <conditionalFormatting sqref="J19:J31">
    <cfRule type="expression" dxfId="14" priority="1" stopIfTrue="1">
      <formula>AND(ISNUMBER(J19),ABS(J19)&gt;0.15)</formula>
    </cfRule>
  </conditionalFormatting>
  <conditionalFormatting sqref="R19:R31">
    <cfRule type="expression" dxfId="13" priority="2" stopIfTrue="1">
      <formula>AND(ISNUMBER(R19),R19&lt;-0.2,ISNUMBER(J19),ABS(J19)&lt;=0.15)</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C698-5AE0-46D6-82C5-53955419CAF7}">
  <sheetPr codeName="Feuil4"/>
  <dimension ref="B1:T42"/>
  <sheetViews>
    <sheetView topLeftCell="A24" zoomScale="90" zoomScaleNormal="90" workbookViewId="0"/>
  </sheetViews>
  <sheetFormatPr baseColWidth="10" defaultColWidth="11.3984375" defaultRowHeight="12.75"/>
  <cols>
    <col min="1" max="1" width="1" style="29" customWidth="1"/>
    <col min="2" max="2" width="11.3984375" style="31" customWidth="1"/>
    <col min="3" max="3" width="11.3984375" style="30" customWidth="1"/>
    <col min="4" max="6" width="14.73046875" style="29" customWidth="1"/>
    <col min="7" max="13" width="11.3984375" style="29"/>
    <col min="14" max="14" width="11.3984375" style="31" customWidth="1"/>
    <col min="15" max="15" width="11.3984375" style="30" customWidth="1"/>
    <col min="16" max="16384" width="11.3984375" style="29"/>
  </cols>
  <sheetData>
    <row r="1" ht="13.15" thickBot="1">
      <c r="C1" s="441" t="str">
        <f>HYPERLINK("#'Sommaire'!A1","◄ Sommaire")</f>
      </c>
      <c r="N1" s="29"/>
      <c r="O1" s="29"/>
    </row>
    <row r="2" spans="2:20" ht="12.75" customHeight="1">
      <c r="C2" s="348" t="s">
        <v>158</v>
      </c>
      <c r="D2" s="349"/>
      <c r="E2" s="349"/>
      <c r="F2" s="349"/>
      <c r="G2" s="349"/>
      <c r="H2" s="349"/>
      <c r="I2" s="350"/>
      <c r="N2" s="29"/>
      <c r="O2" s="29"/>
    </row>
    <row r="3" spans="2:20" ht="13.5" customHeight="1" thickBot="1">
      <c r="C3" s="351"/>
      <c r="D3" s="352"/>
      <c r="E3" s="352"/>
      <c r="F3" s="352"/>
      <c r="G3" s="352"/>
      <c r="H3" s="352"/>
      <c r="I3" s="353"/>
      <c r="N3" s="29"/>
      <c r="O3" s="29"/>
    </row>
    <row r="4" spans="2:20" ht="13.5" customHeight="1">
      <c r="C4" s="100" t="s">
        <v>159</v>
      </c>
      <c r="N4" s="29"/>
      <c r="O4" s="29"/>
    </row>
    <row r="5" spans="2:20" ht="13.5" customHeight="1">
      <c r="N5" s="29"/>
      <c r="O5" s="29"/>
    </row>
    <row r="6" spans="2:20" ht="13.15" thickBot="1">
      <c r="N6" s="29"/>
      <c r="O6" s="29"/>
    </row>
    <row r="7" spans="2:20" ht="14.25" customHeight="1">
      <c r="C7" s="389" t="s">
        <v>156</v>
      </c>
      <c r="D7" s="390"/>
      <c r="E7" s="390"/>
      <c r="F7" s="391"/>
      <c r="G7" s="392"/>
      <c r="H7" s="392"/>
      <c r="I7" s="392"/>
      <c r="J7" s="393"/>
      <c r="K7" s="96"/>
      <c r="N7" s="29"/>
      <c r="O7" s="29"/>
    </row>
    <row r="8" spans="2:20" ht="14.25" customHeight="1">
      <c r="C8" s="384" t="s">
        <v>155</v>
      </c>
      <c r="D8" s="385"/>
      <c r="E8" s="385"/>
      <c r="F8" s="386"/>
      <c r="G8" s="387"/>
      <c r="H8" s="387"/>
      <c r="I8" s="387"/>
      <c r="J8" s="388"/>
      <c r="N8" s="29"/>
      <c r="O8" s="29"/>
    </row>
    <row r="9" spans="2:20" ht="14.25" customHeight="1">
      <c r="C9" s="384" t="s">
        <v>154</v>
      </c>
      <c r="D9" s="385"/>
      <c r="E9" s="385"/>
      <c r="F9" s="386"/>
      <c r="G9" s="387"/>
      <c r="H9" s="387"/>
      <c r="I9" s="387"/>
      <c r="J9" s="388"/>
      <c r="N9" s="29"/>
      <c r="O9" s="29"/>
    </row>
    <row r="10" spans="2:20" ht="12.95" customHeight="1">
      <c r="C10" s="384" t="s">
        <v>153</v>
      </c>
      <c r="D10" s="385"/>
      <c r="E10" s="385"/>
      <c r="F10" s="386"/>
      <c r="G10" s="387"/>
      <c r="H10" s="387"/>
      <c r="I10" s="387"/>
      <c r="J10" s="388"/>
      <c r="N10" s="29"/>
      <c r="O10" s="29"/>
    </row>
    <row r="11" spans="2:20" ht="9.9499999999999993" customHeight="1">
      <c r="C11" s="384" t="s">
        <v>160</v>
      </c>
      <c r="D11" s="385"/>
      <c r="E11" s="385"/>
      <c r="F11" s="386"/>
      <c r="G11" s="387"/>
      <c r="H11" s="387"/>
      <c r="I11" s="387"/>
      <c r="J11" s="388"/>
      <c r="N11" s="29"/>
      <c r="O11" s="29"/>
    </row>
    <row r="12" spans="2:20" ht="13.5" customHeight="1">
      <c r="C12" s="384" t="s">
        <v>151</v>
      </c>
      <c r="D12" s="385"/>
      <c r="E12" s="385"/>
      <c r="F12" s="386"/>
      <c r="G12" s="396"/>
      <c r="H12" s="396"/>
      <c r="I12" s="396"/>
      <c r="J12" s="397"/>
      <c r="N12" s="29"/>
      <c r="O12" s="29"/>
    </row>
    <row r="13" ht="13.15">
      <c r="B13" s="97"/>
      <c r="C13" s="398" t="s">
        <v>161</v>
      </c>
      <c r="D13" s="399"/>
      <c r="E13" s="399"/>
      <c r="F13" s="400"/>
      <c r="G13" s="102"/>
      <c r="H13" s="103"/>
      <c r="I13" s="103"/>
      <c r="J13" s="104"/>
      <c r="K13" s="105" t="s">
        <v>162</v>
      </c>
      <c r="M13" s="398" t="inlineStr">
        <is>
          <t xml:space="preserve">Température de stockage de l'appoint Tst</t>
        </is>
      </c>
      <c r="N13" s="29"/>
      <c r="O13" s="29"/>
      <c r="Q13" s="444">
        <v>55</v>
      </c>
      <c r="R13" s="108" t="inlineStr">
        <is>
          <t xml:space="preserve">°C</t>
        </is>
      </c>
    </row>
    <row r="14" ht="13.5" thickBot="1">
      <c r="B14" s="97"/>
      <c r="C14" s="401" t="s">
        <v>163</v>
      </c>
      <c r="D14" s="402"/>
      <c r="E14" s="402"/>
      <c r="F14" s="403"/>
      <c r="G14" s="106"/>
      <c r="H14" s="106"/>
      <c r="I14" s="106"/>
      <c r="J14" s="107"/>
      <c r="K14" s="108" t="s">
        <v>164</v>
      </c>
      <c r="M14" s="443" t="inlineStr">
        <is>
          <t xml:space="preserve">Nj : écart entre dates de relevé (col. D), sinon jours du mois</t>
        </is>
      </c>
      <c r="N14" s="29"/>
      <c r="O14" s="29"/>
    </row>
    <row r="15" spans="2:20" ht="31.35" customHeight="1" thickBot="1">
      <c r="B15" s="97"/>
      <c r="C15" s="96"/>
      <c r="F15" s="378" t="s">
        <v>338</v>
      </c>
      <c r="G15" s="379"/>
      <c r="H15" s="380"/>
      <c r="L15" s="109"/>
      <c r="M15" s="93" t="s">
        <v>148</v>
      </c>
      <c r="N15" s="378" t="s">
        <v>357</v>
      </c>
      <c r="O15" s="379"/>
      <c r="P15" s="380"/>
      <c r="Q15" s="110"/>
      <c r="R15" s="110"/>
      <c r="S15" s="110"/>
    </row>
    <row r="16" spans="2:20" ht="41.25" customHeight="1">
      <c r="C16" s="90" t="s">
        <v>147</v>
      </c>
      <c r="D16" s="88" t="s">
        <v>146</v>
      </c>
      <c r="E16" s="88" t="s">
        <v>145</v>
      </c>
      <c r="F16" s="88" t="s">
        <v>144</v>
      </c>
      <c r="G16" s="293" t="s">
        <v>339</v>
      </c>
      <c r="H16" s="294" t="s">
        <v>340</v>
      </c>
      <c r="I16" s="88" t="s">
        <v>143</v>
      </c>
      <c r="J16" s="88" t="s">
        <v>142</v>
      </c>
      <c r="K16" s="88" t="s">
        <v>165</v>
      </c>
      <c r="L16" s="111" t="s">
        <v>414</v>
      </c>
      <c r="M16" s="111" t="s">
        <v>167</v>
      </c>
      <c r="N16" s="89" t="s">
        <v>409</v>
      </c>
      <c r="O16" s="300" t="s">
        <v>410</v>
      </c>
      <c r="P16" s="301" t="s">
        <v>411</v>
      </c>
      <c r="Q16" s="88" t="s">
        <v>416</v>
      </c>
      <c r="R16" s="88" t="s">
        <v>415</v>
      </c>
      <c r="S16" s="88" t="s">
        <v>413</v>
      </c>
      <c r="T16" s="87" t="s">
        <v>168</v>
      </c>
    </row>
    <row r="17" spans="3:20" ht="67.5" customHeight="1" thickBot="1">
      <c r="C17" s="112"/>
      <c r="D17" s="113"/>
      <c r="E17" s="114" t="s">
        <v>169</v>
      </c>
      <c r="F17" s="83" t="s">
        <v>140</v>
      </c>
      <c r="G17" s="83" t="s">
        <v>341</v>
      </c>
      <c r="H17" s="83" t="s">
        <v>342</v>
      </c>
      <c r="I17" s="113" t="s">
        <v>134</v>
      </c>
      <c r="J17" s="113" t="s">
        <v>134</v>
      </c>
      <c r="K17" s="113" t="s">
        <v>170</v>
      </c>
      <c r="L17" s="115" t="s">
        <v>171</v>
      </c>
      <c r="M17" s="115" t="s">
        <v>172</v>
      </c>
      <c r="N17" s="84" t="s">
        <v>136</v>
      </c>
      <c r="O17" s="83" t="s">
        <v>355</v>
      </c>
      <c r="P17" s="83" t="s">
        <v>356</v>
      </c>
      <c r="Q17" s="113" t="s">
        <v>173</v>
      </c>
      <c r="R17" s="113" t="s">
        <v>174</v>
      </c>
      <c r="S17" s="113" t="s">
        <v>134</v>
      </c>
      <c r="T17" s="116" t="s">
        <v>175</v>
      </c>
    </row>
    <row r="18" spans="3:20" ht="20.25">
      <c r="C18" s="117" t="s">
        <v>133</v>
      </c>
      <c r="D18" s="118"/>
      <c r="E18" s="119"/>
      <c r="F18" s="120"/>
      <c r="G18" s="295"/>
      <c r="H18" s="296"/>
      <c r="I18" s="88"/>
      <c r="J18" s="120"/>
      <c r="K18" s="121"/>
      <c r="L18" s="121"/>
      <c r="M18" s="122"/>
      <c r="N18" s="120"/>
      <c r="O18" s="295"/>
      <c r="P18" s="296"/>
      <c r="Q18" s="120"/>
      <c r="R18" s="120"/>
      <c r="S18" s="120"/>
      <c r="T18" s="123"/>
    </row>
    <row r="19" ht="14.25">
      <c r="C19" s="297" t="s">
        <v>343</v>
      </c>
      <c r="D19" s="75"/>
      <c r="E19" s="76"/>
      <c r="F19" s="73"/>
      <c r="G19" s="291">
        <f>IF(F19="","",F19*0.85)</f>
      </c>
      <c r="H19" s="292">
        <f>IF(F19="","",F19*1.15)</f>
      </c>
      <c r="I19" s="72">
        <f>IF(OR(E19="",E18=""),"",E19-E18)</f>
      </c>
      <c r="J19" s="124">
        <f>IF(OR(I19="",N(F19)=0),"",(I19-F19)/F19)</f>
      </c>
      <c r="K19" s="125"/>
      <c r="L19" s="125"/>
      <c r="M19" s="69"/>
      <c r="N19" s="68"/>
      <c r="O19" s="291">
        <f>IF(N19="","",N19*0.8)</f>
      </c>
      <c r="P19" s="292">
        <f>IF(N19="","",N19*1.2)</f>
      </c>
      <c r="Q19" s="67">
        <f>IF(OR(N($G$13)=0,$G$14="",$Q$13=""),"",0.16*SQRT($G$13*1000)*($Q$13-$G$14)*IF(AND(ISNUMBER(D19),ISNUMBER(D18)),D19-D18,CHOOSE(1,31,28,31,30,31,30,31,31,30,31,30,31))*24/1000)</f>
      </c>
      <c r="R19" s="67">
        <f>IF(OR(K19="",K18="",L19="",L18=""),"",(K19-K18)+IF(OR(M19="",M18=""),0,M19-M18)+N(Q19)-(L19-L18))</f>
      </c>
      <c r="S19" s="124">
        <f>IF(OR(R19="",N(N19)=0),"",(R19-N19)/N19)</f>
      </c>
      <c r="T19" s="66">
        <f>IF(R19="","",IFERROR(R19/(R19+(L19-L18)),""))</f>
      </c>
    </row>
    <row r="20" ht="14.25">
      <c r="C20" s="297" t="s">
        <v>344</v>
      </c>
      <c r="D20" s="75"/>
      <c r="E20" s="76"/>
      <c r="F20" s="73"/>
      <c r="G20" s="291">
        <f>IF(F20="","",F20*0.85)</f>
      </c>
      <c r="H20" s="292">
        <f>IF(F20="","",F20*1.15)</f>
      </c>
      <c r="I20" s="72">
        <f>IF(OR(E20="",E19=""),"",E20-E19)</f>
      </c>
      <c r="J20" s="124">
        <f>IF(OR(I20="",N(F20)=0),"",(I20-F20)/F20)</f>
      </c>
      <c r="K20" s="126"/>
      <c r="L20" s="126"/>
      <c r="M20" s="69"/>
      <c r="N20" s="68"/>
      <c r="O20" s="291">
        <f>IF(N20="","",N20*0.8)</f>
      </c>
      <c r="P20" s="292">
        <f>IF(N20="","",N20*1.2)</f>
      </c>
      <c r="Q20" s="67">
        <f>IF(OR(N($G$13)=0,$G$14="",$Q$13=""),"",0.16*SQRT($G$13*1000)*($Q$13-$G$14)*IF(AND(ISNUMBER(D20),ISNUMBER(D19)),D20-D19,CHOOSE(2,31,28,31,30,31,30,31,31,30,31,30,31))*24/1000)</f>
      </c>
      <c r="R20" s="67">
        <f>IF(OR(K20="",K19="",L20="",L19=""),"",(K20-K19)+IF(OR(M20="",M19=""),0,M20-M19)+N(Q20)-(L20-L19))</f>
      </c>
      <c r="S20" s="124">
        <f>IF(OR(R20="",N(N20)=0),"",(R20-N20)/N20)</f>
      </c>
      <c r="T20" s="66">
        <f>IF(R20="","",IFERROR(R20/(R20+(L20-L19)),""))</f>
      </c>
    </row>
    <row r="21" ht="14.25">
      <c r="C21" s="297" t="s">
        <v>345</v>
      </c>
      <c r="D21" s="75"/>
      <c r="E21" s="76"/>
      <c r="F21" s="73"/>
      <c r="G21" s="291">
        <f>IF(F21="","",F21*0.85)</f>
      </c>
      <c r="H21" s="292">
        <f>IF(F21="","",F21*1.15)</f>
      </c>
      <c r="I21" s="72">
        <f>IF(OR(E21="",E20=""),"",E21-E20)</f>
      </c>
      <c r="J21" s="124">
        <f>IF(OR(I21="",N(F21)=0),"",(I21-F21)/F21)</f>
      </c>
      <c r="K21" s="125"/>
      <c r="L21" s="125"/>
      <c r="M21" s="69"/>
      <c r="N21" s="68"/>
      <c r="O21" s="291">
        <f>IF(N21="","",N21*0.8)</f>
      </c>
      <c r="P21" s="292">
        <f>IF(N21="","",N21*1.2)</f>
      </c>
      <c r="Q21" s="67">
        <f>IF(OR(N($G$13)=0,$G$14="",$Q$13=""),"",0.16*SQRT($G$13*1000)*($Q$13-$G$14)*IF(AND(ISNUMBER(D21),ISNUMBER(D20)),D21-D20,CHOOSE(3,31,28,31,30,31,30,31,31,30,31,30,31))*24/1000)</f>
      </c>
      <c r="R21" s="67">
        <f>IF(OR(K21="",K20="",L21="",L20=""),"",(K21-K20)+IF(OR(M21="",M20=""),0,M21-M20)+N(Q21)-(L21-L20))</f>
      </c>
      <c r="S21" s="124">
        <f>IF(OR(R21="",N(N21)=0),"",(R21-N21)/N21)</f>
      </c>
      <c r="T21" s="66">
        <f>IF(R21="","",IFERROR(R21/(R21+(L21-L20)),""))</f>
      </c>
    </row>
    <row r="22" ht="14.25">
      <c r="C22" s="297" t="s">
        <v>346</v>
      </c>
      <c r="D22" s="75"/>
      <c r="E22" s="76"/>
      <c r="F22" s="73"/>
      <c r="G22" s="291">
        <f>IF(F22="","",F22*0.85)</f>
      </c>
      <c r="H22" s="292">
        <f>IF(F22="","",F22*1.15)</f>
      </c>
      <c r="I22" s="72">
        <f>IF(OR(E22="",E21=""),"",E22-E21)</f>
      </c>
      <c r="J22" s="124">
        <f>IF(OR(I22="",N(F22)=0),"",(I22-F22)/F22)</f>
      </c>
      <c r="K22" s="126"/>
      <c r="L22" s="126"/>
      <c r="M22" s="69"/>
      <c r="N22" s="68"/>
      <c r="O22" s="291">
        <f>IF(N22="","",N22*0.8)</f>
      </c>
      <c r="P22" s="292">
        <f>IF(N22="","",N22*1.2)</f>
      </c>
      <c r="Q22" s="67">
        <f>IF(OR(N($G$13)=0,$G$14="",$Q$13=""),"",0.16*SQRT($G$13*1000)*($Q$13-$G$14)*IF(AND(ISNUMBER(D22),ISNUMBER(D21)),D22-D21,CHOOSE(4,31,28,31,30,31,30,31,31,30,31,30,31))*24/1000)</f>
      </c>
      <c r="R22" s="67">
        <f>IF(OR(K22="",K21="",L22="",L21=""),"",(K22-K21)+IF(OR(M22="",M21=""),0,M22-M21)+N(Q22)-(L22-L21))</f>
      </c>
      <c r="S22" s="124">
        <f>IF(OR(R22="",N(N22)=0),"",(R22-N22)/N22)</f>
      </c>
      <c r="T22" s="66">
        <f>IF(R22="","",IFERROR(R22/(R22+(L22-L21)),""))</f>
      </c>
    </row>
    <row r="23" ht="14.25">
      <c r="C23" s="297" t="s">
        <v>347</v>
      </c>
      <c r="D23" s="75"/>
      <c r="E23" s="76"/>
      <c r="F23" s="73"/>
      <c r="G23" s="291">
        <f>IF(F23="","",F23*0.85)</f>
      </c>
      <c r="H23" s="292">
        <f>IF(F23="","",F23*1.15)</f>
      </c>
      <c r="I23" s="72">
        <f>IF(OR(E23="",E22=""),"",E23-E22)</f>
      </c>
      <c r="J23" s="124">
        <f>IF(OR(I23="",N(F23)=0),"",(I23-F23)/F23)</f>
      </c>
      <c r="K23" s="125"/>
      <c r="L23" s="125"/>
      <c r="M23" s="69"/>
      <c r="N23" s="68"/>
      <c r="O23" s="291">
        <f>IF(N23="","",N23*0.8)</f>
      </c>
      <c r="P23" s="292">
        <f>IF(N23="","",N23*1.2)</f>
      </c>
      <c r="Q23" s="67">
        <f>IF(OR(N($G$13)=0,$G$14="",$Q$13=""),"",0.16*SQRT($G$13*1000)*($Q$13-$G$14)*IF(AND(ISNUMBER(D23),ISNUMBER(D22)),D23-D22,CHOOSE(5,31,28,31,30,31,30,31,31,30,31,30,31))*24/1000)</f>
      </c>
      <c r="R23" s="67">
        <f>IF(OR(K23="",K22="",L23="",L22=""),"",(K23-K22)+IF(OR(M23="",M22=""),0,M23-M22)+N(Q23)-(L23-L22))</f>
      </c>
      <c r="S23" s="124">
        <f>IF(OR(R23="",N(N23)=0),"",(R23-N23)/N23)</f>
      </c>
      <c r="T23" s="66">
        <f>IF(R23="","",IFERROR(R23/(R23+(L23-L22)),""))</f>
      </c>
    </row>
    <row r="24" ht="14.25">
      <c r="C24" s="297" t="s">
        <v>348</v>
      </c>
      <c r="D24" s="75"/>
      <c r="E24" s="74"/>
      <c r="F24" s="73"/>
      <c r="G24" s="291">
        <f>IF(F24="","",F24*0.85)</f>
      </c>
      <c r="H24" s="292">
        <f>IF(F24="","",F24*1.15)</f>
      </c>
      <c r="I24" s="72">
        <f>IF(OR(E24="",E23=""),"",E24-E23)</f>
      </c>
      <c r="J24" s="124">
        <f>IF(OR(I24="",N(F24)=0),"",(I24-F24)/F24)</f>
      </c>
      <c r="K24" s="126"/>
      <c r="L24" s="126"/>
      <c r="M24" s="69"/>
      <c r="N24" s="68"/>
      <c r="O24" s="291">
        <f>IF(N24="","",N24*0.8)</f>
      </c>
      <c r="P24" s="292">
        <f>IF(N24="","",N24*1.2)</f>
      </c>
      <c r="Q24" s="67">
        <f>IF(OR(N($G$13)=0,$G$14="",$Q$13=""),"",0.16*SQRT($G$13*1000)*($Q$13-$G$14)*IF(AND(ISNUMBER(D24),ISNUMBER(D23)),D24-D23,CHOOSE(6,31,28,31,30,31,30,31,31,30,31,30,31))*24/1000)</f>
      </c>
      <c r="R24" s="67">
        <f>IF(OR(K24="",K23="",L24="",L23=""),"",(K24-K23)+IF(OR(M24="",M23=""),0,M24-M23)+N(Q24)-(L24-L23))</f>
      </c>
      <c r="S24" s="124">
        <f>IF(OR(R24="",N(N24)=0),"",(R24-N24)/N24)</f>
      </c>
      <c r="T24" s="66">
        <f>IF(R24="","",IFERROR(R24/(R24+(L24-L23)),""))</f>
      </c>
    </row>
    <row r="25" ht="14.25">
      <c r="C25" s="297" t="s">
        <v>349</v>
      </c>
      <c r="D25" s="75"/>
      <c r="E25" s="74"/>
      <c r="F25" s="73"/>
      <c r="G25" s="291">
        <f>IF(F25="","",F25*0.85)</f>
      </c>
      <c r="H25" s="292">
        <f>IF(F25="","",F25*1.15)</f>
      </c>
      <c r="I25" s="72">
        <f>IF(OR(E25="",E24=""),"",E25-E24)</f>
      </c>
      <c r="J25" s="124">
        <f>IF(OR(I25="",N(F25)=0),"",(I25-F25)/F25)</f>
      </c>
      <c r="K25" s="125"/>
      <c r="L25" s="125"/>
      <c r="M25" s="69"/>
      <c r="N25" s="68"/>
      <c r="O25" s="291">
        <f>IF(N25="","",N25*0.8)</f>
      </c>
      <c r="P25" s="292">
        <f>IF(N25="","",N25*1.2)</f>
      </c>
      <c r="Q25" s="67">
        <f>IF(OR(N($G$13)=0,$G$14="",$Q$13=""),"",0.16*SQRT($G$13*1000)*($Q$13-$G$14)*IF(AND(ISNUMBER(D25),ISNUMBER(D24)),D25-D24,CHOOSE(7,31,28,31,30,31,30,31,31,30,31,30,31))*24/1000)</f>
      </c>
      <c r="R25" s="67">
        <f>IF(OR(K25="",K24="",L25="",L24=""),"",(K25-K24)+IF(OR(M25="",M24=""),0,M25-M24)+N(Q25)-(L25-L24))</f>
      </c>
      <c r="S25" s="124">
        <f>IF(OR(R25="",N(N25)=0),"",(R25-N25)/N25)</f>
      </c>
      <c r="T25" s="66">
        <f>IF(R25="","",IFERROR(R25/(R25+(L25-L24)),""))</f>
      </c>
    </row>
    <row r="26" ht="14.25">
      <c r="C26" s="297" t="s">
        <v>350</v>
      </c>
      <c r="D26" s="75"/>
      <c r="E26" s="74"/>
      <c r="F26" s="73"/>
      <c r="G26" s="291">
        <f>IF(F26="","",F26*0.85)</f>
      </c>
      <c r="H26" s="292">
        <f>IF(F26="","",F26*1.15)</f>
      </c>
      <c r="I26" s="72">
        <f>IF(OR(E26="",E25=""),"",E26-E25)</f>
      </c>
      <c r="J26" s="124">
        <f>IF(OR(I26="",N(F26)=0),"",(I26-F26)/F26)</f>
      </c>
      <c r="K26" s="126"/>
      <c r="L26" s="126"/>
      <c r="M26" s="69"/>
      <c r="N26" s="68"/>
      <c r="O26" s="291">
        <f>IF(N26="","",N26*0.8)</f>
      </c>
      <c r="P26" s="292">
        <f>IF(N26="","",N26*1.2)</f>
      </c>
      <c r="Q26" s="67">
        <f>IF(OR(N($G$13)=0,$G$14="",$Q$13=""),"",0.16*SQRT($G$13*1000)*($Q$13-$G$14)*IF(AND(ISNUMBER(D26),ISNUMBER(D25)),D26-D25,CHOOSE(8,31,28,31,30,31,30,31,31,30,31,30,31))*24/1000)</f>
      </c>
      <c r="R26" s="67">
        <f>IF(OR(K26="",K25="",L26="",L25=""),"",(K26-K25)+IF(OR(M26="",M25=""),0,M26-M25)+N(Q26)-(L26-L25))</f>
      </c>
      <c r="S26" s="124">
        <f>IF(OR(R26="",N(N26)=0),"",(R26-N26)/N26)</f>
      </c>
      <c r="T26" s="66">
        <f>IF(R26="","",IFERROR(R26/(R26+(L26-L25)),""))</f>
      </c>
    </row>
    <row r="27" ht="14.25">
      <c r="C27" s="297" t="s">
        <v>351</v>
      </c>
      <c r="D27" s="75"/>
      <c r="E27" s="74"/>
      <c r="F27" s="73"/>
      <c r="G27" s="291">
        <f>IF(F27="","",F27*0.85)</f>
      </c>
      <c r="H27" s="292">
        <f>IF(F27="","",F27*1.15)</f>
      </c>
      <c r="I27" s="72">
        <f>IF(OR(E27="",E26=""),"",E27-E26)</f>
      </c>
      <c r="J27" s="124">
        <f>IF(OR(I27="",N(F27)=0),"",(I27-F27)/F27)</f>
      </c>
      <c r="K27" s="125"/>
      <c r="L27" s="125"/>
      <c r="M27" s="69"/>
      <c r="N27" s="68"/>
      <c r="O27" s="291">
        <f>IF(N27="","",N27*0.8)</f>
      </c>
      <c r="P27" s="292">
        <f>IF(N27="","",N27*1.2)</f>
      </c>
      <c r="Q27" s="67">
        <f>IF(OR(N($G$13)=0,$G$14="",$Q$13=""),"",0.16*SQRT($G$13*1000)*($Q$13-$G$14)*IF(AND(ISNUMBER(D27),ISNUMBER(D26)),D27-D26,CHOOSE(9,31,28,31,30,31,30,31,31,30,31,30,31))*24/1000)</f>
      </c>
      <c r="R27" s="67">
        <f>IF(OR(K27="",K26="",L27="",L26=""),"",(K27-K26)+IF(OR(M27="",M26=""),0,M27-M26)+N(Q27)-(L27-L26))</f>
      </c>
      <c r="S27" s="124">
        <f>IF(OR(R27="",N(N27)=0),"",(R27-N27)/N27)</f>
      </c>
      <c r="T27" s="66">
        <f>IF(R27="","",IFERROR(R27/(R27+(L27-L26)),""))</f>
      </c>
    </row>
    <row r="28" ht="14.25">
      <c r="C28" s="297" t="s">
        <v>352</v>
      </c>
      <c r="D28" s="75"/>
      <c r="E28" s="74"/>
      <c r="F28" s="73"/>
      <c r="G28" s="291">
        <f>IF(F28="","",F28*0.85)</f>
      </c>
      <c r="H28" s="292">
        <f>IF(F28="","",F28*1.15)</f>
      </c>
      <c r="I28" s="72">
        <f>IF(OR(E28="",E27=""),"",E28-E27)</f>
      </c>
      <c r="J28" s="124">
        <f>IF(OR(I28="",N(F28)=0),"",(I28-F28)/F28)</f>
      </c>
      <c r="K28" s="126"/>
      <c r="L28" s="126"/>
      <c r="M28" s="69"/>
      <c r="N28" s="68"/>
      <c r="O28" s="291">
        <f>IF(N28="","",N28*0.8)</f>
      </c>
      <c r="P28" s="292">
        <f>IF(N28="","",N28*1.2)</f>
      </c>
      <c r="Q28" s="67">
        <f>IF(OR(N($G$13)=0,$G$14="",$Q$13=""),"",0.16*SQRT($G$13*1000)*($Q$13-$G$14)*IF(AND(ISNUMBER(D28),ISNUMBER(D27)),D28-D27,CHOOSE(10,31,28,31,30,31,30,31,31,30,31,30,31))*24/1000)</f>
      </c>
      <c r="R28" s="67">
        <f>IF(OR(K28="",K27="",L28="",L27=""),"",(K28-K27)+IF(OR(M28="",M27=""),0,M28-M27)+N(Q28)-(L28-L27))</f>
      </c>
      <c r="S28" s="124">
        <f>IF(OR(R28="",N(N28)=0),"",(R28-N28)/N28)</f>
      </c>
      <c r="T28" s="66">
        <f>IF(R28="","",IFERROR(R28/(R28+(L28-L27)),""))</f>
      </c>
    </row>
    <row r="29" ht="14.25">
      <c r="C29" s="297" t="s">
        <v>353</v>
      </c>
      <c r="D29" s="75"/>
      <c r="E29" s="74"/>
      <c r="F29" s="73"/>
      <c r="G29" s="291">
        <f>IF(F29="","",F29*0.85)</f>
      </c>
      <c r="H29" s="292">
        <f>IF(F29="","",F29*1.15)</f>
      </c>
      <c r="I29" s="72">
        <f>IF(OR(E29="",E28=""),"",E29-E28)</f>
      </c>
      <c r="J29" s="124">
        <f>IF(OR(I29="",N(F29)=0),"",(I29-F29)/F29)</f>
      </c>
      <c r="K29" s="125"/>
      <c r="L29" s="125"/>
      <c r="M29" s="69"/>
      <c r="N29" s="68"/>
      <c r="O29" s="291">
        <f>IF(N29="","",N29*0.8)</f>
      </c>
      <c r="P29" s="292">
        <f>IF(N29="","",N29*1.2)</f>
      </c>
      <c r="Q29" s="67">
        <f>IF(OR(N($G$13)=0,$G$14="",$Q$13=""),"",0.16*SQRT($G$13*1000)*($Q$13-$G$14)*IF(AND(ISNUMBER(D29),ISNUMBER(D28)),D29-D28,CHOOSE(11,31,28,31,30,31,30,31,31,30,31,30,31))*24/1000)</f>
      </c>
      <c r="R29" s="67">
        <f>IF(OR(K29="",K28="",L29="",L28=""),"",(K29-K28)+IF(OR(M29="",M28=""),0,M29-M28)+N(Q29)-(L29-L28))</f>
      </c>
      <c r="S29" s="124">
        <f>IF(OR(R29="",N(N29)=0),"",(R29-N29)/N29)</f>
      </c>
      <c r="T29" s="66">
        <f>IF(R29="","",IFERROR(R29/(R29+(L29-L28)),""))</f>
      </c>
    </row>
    <row r="30" ht="14.65" thickBot="1">
      <c r="C30" s="297" t="s">
        <v>354</v>
      </c>
      <c r="D30" s="127"/>
      <c r="E30" s="128"/>
      <c r="F30" s="63"/>
      <c r="G30" s="299">
        <f>IF(F30="","",F30*0.85)</f>
      </c>
      <c r="H30" s="292">
        <f>IF(F30="","",F30*1.15)</f>
      </c>
      <c r="I30" s="129">
        <f>IF(OR(E30="",E29=""),"",E30-E29)</f>
      </c>
      <c r="J30" s="124">
        <f>IF(OR(I30="",N(F30)=0),"",(I30-F30)/F30)</f>
      </c>
      <c r="K30" s="130"/>
      <c r="L30" s="130"/>
      <c r="M30" s="131"/>
      <c r="N30" s="58"/>
      <c r="O30" s="291">
        <f>IF(N30="","",N30*0.8)</f>
      </c>
      <c r="P30" s="292">
        <f>IF(N30="","",N30*1.2)</f>
      </c>
      <c r="Q30" s="132">
        <f>IF(OR(N($G$13)=0,$G$14="",$Q$13=""),"",0.16*SQRT($G$13*1000)*($Q$13-$G$14)*IF(AND(ISNUMBER(D30),ISNUMBER(D29)),D30-D29,CHOOSE(12,31,28,31,30,31,30,31,31,30,31,30,31))*24/1000)</f>
      </c>
      <c r="R30" s="132">
        <f>IF(OR(K30="",K29="",L30="",L29=""),"",(K30-K29)+IF(OR(M30="",M29=""),0,M30-M29)+N(Q30)-(L30-L29))</f>
      </c>
      <c r="S30" s="124">
        <f>IF(OR(R30="",N(N30)=0),"",(R30-N30)/N30)</f>
      </c>
      <c r="T30" s="133">
        <f>IF(R30="","",IFERROR(R30/(R30+(L30-L29)),""))</f>
      </c>
    </row>
    <row r="31" ht="12.75" customHeight="1" thickBot="1">
      <c r="C31" s="134" t="s">
        <v>132</v>
      </c>
      <c r="D31" s="135"/>
      <c r="E31" s="136"/>
      <c r="F31" s="52">
        <f>SUM(F19:F30)</f>
      </c>
      <c r="G31" s="52">
        <f>SUM(G19:G30)</f>
      </c>
      <c r="H31" s="52">
        <f>SUM(H19:H30)</f>
      </c>
      <c r="I31" s="137">
        <f>SUM(I19:I30)</f>
      </c>
      <c r="J31" s="124">
        <f>IFERROR((SUM(I19:I30)-SUMPRODUCT(--ISNUMBER(I19:I30),F19:F30))/SUMPRODUCT(--ISNUMBER(I19:I30),F19:F30),"")</f>
      </c>
      <c r="K31" s="138"/>
      <c r="L31" s="138"/>
      <c r="M31" s="138"/>
      <c r="N31" s="49">
        <f>SUM(N19:N30)</f>
      </c>
      <c r="O31" s="49">
        <f>SUM(O19:O30)</f>
      </c>
      <c r="P31" s="48">
        <f>SUM(P19:P30)</f>
      </c>
      <c r="Q31" s="137">
        <f>SUM(Q19:Q30)</f>
      </c>
      <c r="R31" s="137">
        <f>SUM(R19:R30)</f>
      </c>
      <c r="S31" s="124">
        <f>IFERROR((SUM(R19:R30)-SUMPRODUCT(--ISNUMBER(R19:R30),N19:N30))/SUMPRODUCT(--ISNUMBER(R19:R30),N19:N30),"")</f>
      </c>
      <c r="T31" s="139">
        <f>IFERROR(R31/(R31+SUMPRODUCT(--ISNUMBER(R19:R30),L19:L30-L18:L29)),"")</f>
      </c>
    </row>
    <row r="32" ht="19.5" customHeight="1" thickBot="1">
      <c r="C32" s="366" t="s">
        <v>131</v>
      </c>
      <c r="D32" s="367"/>
      <c r="E32" s="367"/>
      <c r="F32" s="367"/>
      <c r="G32" s="367"/>
      <c r="H32" s="367"/>
      <c r="I32" s="367"/>
      <c r="J32" s="367"/>
      <c r="K32" s="367"/>
      <c r="L32" s="44"/>
      <c r="M32" s="44"/>
      <c r="N32" s="42">
        <f>IF(N($G$12)=0,"",R31/$G$12)</f>
      </c>
      <c r="O32" s="140"/>
      <c r="P32" s="141"/>
    </row>
    <row r="33" spans="3:16" ht="13.15">
      <c r="C33" s="96"/>
      <c r="D33" s="142"/>
      <c r="N33" s="29"/>
      <c r="O33" s="29"/>
    </row>
    <row r="34" spans="3:16" ht="13.15">
      <c r="C34" s="96" t="s">
        <v>176</v>
      </c>
      <c r="D34" s="142"/>
      <c r="N34" s="29"/>
      <c r="O34" s="29"/>
    </row>
    <row r="35" spans="3:16" ht="55.35" customHeight="1">
      <c r="C35" s="404" t="s">
        <v>177</v>
      </c>
      <c r="D35" s="405"/>
      <c r="E35" s="405"/>
      <c r="F35" s="405"/>
      <c r="G35" s="405"/>
      <c r="H35" s="405"/>
      <c r="I35" s="405"/>
      <c r="J35" s="405"/>
      <c r="K35" s="405"/>
      <c r="L35" s="405"/>
      <c r="M35" s="405"/>
      <c r="N35" s="405"/>
      <c r="O35" s="406"/>
    </row>
    <row r="36" spans="3:16">
      <c r="C36" s="143"/>
      <c r="D36" s="143"/>
      <c r="E36" s="143"/>
      <c r="F36" s="143"/>
      <c r="G36" s="143"/>
      <c r="H36" s="143"/>
      <c r="I36" s="143"/>
      <c r="J36" s="143"/>
      <c r="K36" s="143"/>
      <c r="L36" s="143"/>
      <c r="M36" s="143"/>
      <c r="N36" s="143"/>
      <c r="O36" s="143"/>
    </row>
    <row r="37" spans="3:16" ht="15" customHeight="1">
      <c r="C37" s="37" t="s">
        <v>130</v>
      </c>
      <c r="D37" s="36"/>
      <c r="E37" s="36"/>
      <c r="F37" s="36"/>
      <c r="G37" s="36"/>
      <c r="H37" s="36"/>
      <c r="I37" s="36"/>
      <c r="J37" s="36"/>
      <c r="K37" s="36"/>
      <c r="L37" s="36"/>
      <c r="M37" s="36"/>
      <c r="N37" s="29"/>
      <c r="O37" s="36"/>
      <c r="P37" s="36"/>
    </row>
    <row r="38" spans="3:16" ht="86.25" customHeight="1">
      <c r="C38" s="407" t="s">
        <v>129</v>
      </c>
      <c r="D38" s="408"/>
      <c r="E38" s="408"/>
      <c r="F38" s="408"/>
      <c r="G38" s="408"/>
      <c r="H38" s="408"/>
      <c r="I38" s="408"/>
      <c r="J38" s="408"/>
      <c r="K38" s="408"/>
      <c r="L38" s="408"/>
      <c r="M38" s="408"/>
      <c r="N38" s="408"/>
      <c r="O38" s="409"/>
    </row>
    <row r="39" spans="3:16" ht="13.5">
      <c r="C39" s="35"/>
      <c r="D39" s="34"/>
      <c r="E39" s="34"/>
      <c r="F39" s="34"/>
      <c r="G39" s="34"/>
      <c r="H39" s="34"/>
      <c r="I39" s="34"/>
      <c r="N39" s="29"/>
      <c r="O39" s="29"/>
    </row>
    <row r="40" spans="3:16" ht="13.5">
      <c r="C40" s="33" t="s">
        <v>128</v>
      </c>
      <c r="N40" s="29"/>
      <c r="O40" s="29"/>
    </row>
    <row r="41" spans="3:16" ht="15" customHeight="1">
      <c r="C41" s="373" t="s">
        <v>127</v>
      </c>
      <c r="D41" s="394"/>
      <c r="E41" s="394"/>
      <c r="F41" s="394"/>
      <c r="G41" s="394"/>
      <c r="H41" s="394"/>
      <c r="I41" s="394"/>
      <c r="J41" s="394"/>
      <c r="K41" s="394"/>
      <c r="L41" s="394"/>
      <c r="M41" s="394"/>
      <c r="N41" s="394"/>
      <c r="O41" s="395"/>
    </row>
    <row r="42" spans="3:16">
      <c r="N42" s="29"/>
      <c r="O42" s="29"/>
    </row>
  </sheetData>
  <mergeCells count="21">
    <mergeCell ref="C41:O41"/>
    <mergeCell ref="C10:F10"/>
    <mergeCell ref="G10:J10"/>
    <mergeCell ref="C11:F11"/>
    <mergeCell ref="G11:J11"/>
    <mergeCell ref="C12:F12"/>
    <mergeCell ref="G12:J12"/>
    <mergeCell ref="C13:F13"/>
    <mergeCell ref="C14:F14"/>
    <mergeCell ref="C32:K32"/>
    <mergeCell ref="C35:O35"/>
    <mergeCell ref="C38:O38"/>
    <mergeCell ref="F15:H15"/>
    <mergeCell ref="N15:P15"/>
    <mergeCell ref="C9:F9"/>
    <mergeCell ref="G9:J9"/>
    <mergeCell ref="C2:I3"/>
    <mergeCell ref="C7:F7"/>
    <mergeCell ref="G7:J7"/>
    <mergeCell ref="C8:F8"/>
    <mergeCell ref="G8:J8"/>
  </mergeCells>
  <conditionalFormatting sqref="J19:J31">
    <cfRule type="expression" dxfId="12" priority="1" stopIfTrue="1">
      <formula>AND(ISNUMBER(J19),ABS(J19)&gt;0.15)</formula>
    </cfRule>
  </conditionalFormatting>
  <conditionalFormatting sqref="N32">
    <cfRule type="expression" dxfId="11" priority="2" stopIfTrue="1">
      <formula>AND(ISNUMBER(N32),N32&lt;400)</formula>
    </cfRule>
  </conditionalFormatting>
  <conditionalFormatting sqref="S19:T31">
    <cfRule type="expression" dxfId="10" priority="3" stopIfTrue="1">
      <formula>AND(ISNUMBER($S19),$S19&lt;-0.2,ISNUMBER($J19),ABS($J19)&lt;=0.15)</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5277-8A6F-419F-B22A-96603F9B7F59}">
  <sheetPr codeName="Feuil5"/>
  <dimension ref="B1:Y43"/>
  <sheetViews>
    <sheetView topLeftCell="A16" zoomScale="90" zoomScaleNormal="90" workbookViewId="0">
      <selection activeCell="R16" sqref="R16"/>
    </sheetView>
  </sheetViews>
  <sheetFormatPr baseColWidth="10" defaultColWidth="11.3984375" defaultRowHeight="12.75"/>
  <cols>
    <col min="1" max="1" width="1" style="29" customWidth="1"/>
    <col min="2" max="2" width="11.3984375" style="31" customWidth="1"/>
    <col min="3" max="3" width="11.3984375" style="30" customWidth="1"/>
    <col min="4" max="6" width="14.73046875" style="29" customWidth="1"/>
    <col min="7" max="9" width="11.3984375" style="29"/>
    <col min="10" max="10" width="13.265625" style="29" customWidth="1"/>
    <col min="11" max="13" width="11.3984375" style="29"/>
    <col min="14" max="14" width="13" style="29" customWidth="1"/>
    <col min="15" max="16" width="11.3984375" style="29"/>
    <col min="17" max="17" width="13" style="29" customWidth="1"/>
    <col min="18" max="19" width="11.3984375" style="29"/>
    <col min="20" max="20" width="11.3984375" style="31" customWidth="1"/>
    <col min="21" max="21" width="11.3984375" style="30" customWidth="1"/>
    <col min="22" max="16384" width="11.3984375" style="29"/>
  </cols>
  <sheetData>
    <row r="1" ht="13.15" thickBot="1">
      <c r="C1" s="441" t="str">
        <f>HYPERLINK("#'Sommaire'!A1","◄ Sommaire")</f>
      </c>
      <c r="T1" s="29"/>
      <c r="U1" s="29"/>
    </row>
    <row r="2" spans="2:25" ht="12.75" customHeight="1">
      <c r="C2" s="348" t="s">
        <v>158</v>
      </c>
      <c r="D2" s="349"/>
      <c r="E2" s="349"/>
      <c r="F2" s="349"/>
      <c r="G2" s="349"/>
      <c r="H2" s="349"/>
      <c r="I2" s="349"/>
      <c r="J2" s="410"/>
      <c r="M2" s="144"/>
      <c r="N2" s="95"/>
      <c r="T2" s="29"/>
      <c r="U2" s="29"/>
    </row>
    <row r="3" spans="2:25" ht="13.5" customHeight="1" thickBot="1">
      <c r="C3" s="351"/>
      <c r="D3" s="352"/>
      <c r="E3" s="352"/>
      <c r="F3" s="352"/>
      <c r="G3" s="352"/>
      <c r="H3" s="352"/>
      <c r="I3" s="352"/>
      <c r="J3" s="411"/>
      <c r="T3" s="29"/>
      <c r="U3" s="29"/>
    </row>
    <row r="4" spans="2:25" ht="13.5" customHeight="1">
      <c r="C4" s="100" t="s">
        <v>178</v>
      </c>
      <c r="T4" s="29"/>
      <c r="U4" s="29"/>
    </row>
    <row r="5" spans="2:25" ht="13.5" customHeight="1">
      <c r="T5" s="29"/>
      <c r="U5" s="29"/>
    </row>
    <row r="6" spans="2:25" ht="13.15" thickBot="1">
      <c r="T6" s="29"/>
      <c r="U6" s="29"/>
    </row>
    <row r="7" spans="2:25" ht="14.25" customHeight="1">
      <c r="C7" s="389" t="s">
        <v>156</v>
      </c>
      <c r="D7" s="390"/>
      <c r="E7" s="390"/>
      <c r="F7" s="391"/>
      <c r="G7" s="387"/>
      <c r="H7" s="387"/>
      <c r="I7" s="101"/>
      <c r="J7" s="96"/>
      <c r="K7" s="96"/>
      <c r="L7" s="96"/>
      <c r="T7" s="29"/>
      <c r="U7" s="29"/>
    </row>
    <row r="8" spans="2:25" ht="14.25" customHeight="1">
      <c r="C8" s="384" t="s">
        <v>155</v>
      </c>
      <c r="D8" s="385"/>
      <c r="E8" s="385"/>
      <c r="F8" s="386"/>
      <c r="G8" s="387"/>
      <c r="H8" s="387"/>
      <c r="I8" s="101"/>
      <c r="T8" s="29"/>
      <c r="U8" s="29"/>
    </row>
    <row r="9" spans="2:25" ht="14.25" customHeight="1">
      <c r="C9" s="384" t="s">
        <v>154</v>
      </c>
      <c r="D9" s="385"/>
      <c r="E9" s="385"/>
      <c r="F9" s="386"/>
      <c r="G9" s="387"/>
      <c r="H9" s="387"/>
      <c r="I9" s="101"/>
      <c r="T9" s="29"/>
      <c r="U9" s="29"/>
    </row>
    <row r="10" spans="2:25" ht="12.95" customHeight="1">
      <c r="C10" s="384" t="s">
        <v>153</v>
      </c>
      <c r="D10" s="385"/>
      <c r="E10" s="385"/>
      <c r="F10" s="386"/>
      <c r="G10" s="387"/>
      <c r="H10" s="387"/>
      <c r="I10" s="101"/>
      <c r="T10" s="29"/>
      <c r="U10" s="29"/>
    </row>
    <row r="11" spans="2:25" ht="9.9499999999999993" customHeight="1">
      <c r="C11" s="384" t="s">
        <v>160</v>
      </c>
      <c r="D11" s="385"/>
      <c r="E11" s="385"/>
      <c r="F11" s="386"/>
      <c r="G11" s="387"/>
      <c r="H11" s="387"/>
      <c r="I11" s="101"/>
      <c r="T11" s="29"/>
      <c r="U11" s="29"/>
    </row>
    <row r="12" spans="2:25" ht="13.5" customHeight="1">
      <c r="C12" s="384" t="s">
        <v>151</v>
      </c>
      <c r="D12" s="385"/>
      <c r="E12" s="385"/>
      <c r="F12" s="386"/>
      <c r="G12" s="387"/>
      <c r="H12" s="387"/>
      <c r="I12" s="101"/>
      <c r="T12" s="29"/>
      <c r="U12" s="29"/>
    </row>
    <row r="13" ht="13.15">
      <c r="B13" s="97"/>
      <c r="C13" s="398" t="s">
        <v>179</v>
      </c>
      <c r="D13" s="399"/>
      <c r="E13" s="399"/>
      <c r="F13" s="400"/>
      <c r="G13" s="420"/>
      <c r="H13" s="421"/>
      <c r="I13" s="103"/>
      <c r="J13" s="145" t="s">
        <v>162</v>
      </c>
      <c r="K13" s="95"/>
      <c r="L13" s="95"/>
      <c r="M13" s="398" t="inlineStr">
        <is>
          <t xml:space="preserve">Température de stockage de l'appoint Tst</t>
        </is>
      </c>
      <c r="Q13" s="444">
        <v>55</v>
      </c>
      <c r="R13" s="145" t="inlineStr">
        <is>
          <t xml:space="preserve">°C</t>
        </is>
      </c>
      <c r="T13" s="29"/>
      <c r="U13" s="29"/>
    </row>
    <row r="14" ht="13.5" thickBot="1">
      <c r="B14" s="97"/>
      <c r="C14" s="401" t="s">
        <v>163</v>
      </c>
      <c r="D14" s="402"/>
      <c r="E14" s="402"/>
      <c r="F14" s="403"/>
      <c r="G14" s="420"/>
      <c r="H14" s="421"/>
      <c r="I14" s="103"/>
      <c r="J14" s="145" t="s">
        <v>164</v>
      </c>
      <c r="K14" s="95"/>
      <c r="L14" s="95"/>
      <c r="M14" s="443" t="inlineStr">
        <is>
          <t xml:space="preserve">Nj : écart entre dates de relevé (col. D), sinon jours du mois</t>
        </is>
      </c>
      <c r="T14" s="29"/>
      <c r="U14" s="29"/>
    </row>
    <row r="15" spans="2:25" ht="31.35" customHeight="1" thickBot="1">
      <c r="B15" s="146"/>
      <c r="C15" s="96"/>
      <c r="F15" s="378" t="s">
        <v>338</v>
      </c>
      <c r="G15" s="379"/>
      <c r="H15" s="380"/>
      <c r="L15" s="93" t="s">
        <v>148</v>
      </c>
      <c r="M15" s="378" t="s">
        <v>357</v>
      </c>
      <c r="N15" s="379"/>
      <c r="O15" s="380"/>
      <c r="P15" s="414" t="s">
        <v>180</v>
      </c>
      <c r="Q15" s="415"/>
      <c r="R15" s="416"/>
      <c r="S15" s="412" t="s">
        <v>181</v>
      </c>
      <c r="T15" s="412"/>
      <c r="U15" s="412"/>
      <c r="V15" s="412"/>
      <c r="W15" s="412"/>
      <c r="X15" s="413"/>
      <c r="Y15" s="147"/>
    </row>
    <row r="16" spans="2:25" ht="54" customHeight="1">
      <c r="B16" s="29"/>
      <c r="C16" s="90" t="s">
        <v>147</v>
      </c>
      <c r="D16" s="88" t="s">
        <v>146</v>
      </c>
      <c r="E16" s="88" t="s">
        <v>145</v>
      </c>
      <c r="F16" s="88" t="s">
        <v>144</v>
      </c>
      <c r="G16" s="293" t="s">
        <v>339</v>
      </c>
      <c r="H16" s="294" t="s">
        <v>340</v>
      </c>
      <c r="I16" s="88" t="s">
        <v>143</v>
      </c>
      <c r="J16" s="88" t="s">
        <v>142</v>
      </c>
      <c r="K16" s="88" t="s">
        <v>165</v>
      </c>
      <c r="L16" s="88" t="s">
        <v>417</v>
      </c>
      <c r="M16" s="89" t="s">
        <v>409</v>
      </c>
      <c r="N16" s="300" t="s">
        <v>410</v>
      </c>
      <c r="O16" s="301" t="s">
        <v>411</v>
      </c>
      <c r="P16" s="148" t="s">
        <v>182</v>
      </c>
      <c r="Q16" s="79" t="s">
        <v>183</v>
      </c>
      <c r="R16" s="88" t="s">
        <v>413</v>
      </c>
      <c r="S16" s="111" t="s">
        <v>166</v>
      </c>
      <c r="T16" s="88" t="s">
        <v>184</v>
      </c>
      <c r="U16" s="88" t="s">
        <v>416</v>
      </c>
      <c r="V16" s="88" t="s">
        <v>415</v>
      </c>
      <c r="W16" s="88" t="s">
        <v>413</v>
      </c>
      <c r="X16" s="87" t="s">
        <v>168</v>
      </c>
    </row>
    <row r="17" spans="2:24" ht="108.4" customHeight="1" thickBot="1">
      <c r="B17" s="29"/>
      <c r="C17" s="86"/>
      <c r="D17" s="83"/>
      <c r="E17" s="85" t="s">
        <v>169</v>
      </c>
      <c r="F17" s="83" t="s">
        <v>140</v>
      </c>
      <c r="G17" s="83" t="s">
        <v>341</v>
      </c>
      <c r="H17" s="83" t="s">
        <v>342</v>
      </c>
      <c r="I17" s="83" t="s">
        <v>134</v>
      </c>
      <c r="J17" s="83" t="s">
        <v>134</v>
      </c>
      <c r="K17" s="83" t="s">
        <v>170</v>
      </c>
      <c r="L17" s="83" t="s">
        <v>137</v>
      </c>
      <c r="M17" s="84" t="s">
        <v>136</v>
      </c>
      <c r="N17" s="83" t="s">
        <v>355</v>
      </c>
      <c r="O17" s="83" t="s">
        <v>356</v>
      </c>
      <c r="P17" s="86" t="s">
        <v>185</v>
      </c>
      <c r="Q17" s="83" t="s">
        <v>134</v>
      </c>
      <c r="R17" s="82" t="s">
        <v>134</v>
      </c>
      <c r="S17" s="149" t="s">
        <v>171</v>
      </c>
      <c r="T17" s="85" t="s">
        <v>186</v>
      </c>
      <c r="U17" s="83" t="s">
        <v>173</v>
      </c>
      <c r="V17" s="83" t="s">
        <v>187</v>
      </c>
      <c r="W17" s="83" t="s">
        <v>134</v>
      </c>
      <c r="X17" s="82" t="s">
        <v>188</v>
      </c>
    </row>
    <row r="18" spans="2:24" ht="20.25">
      <c r="B18" s="29"/>
      <c r="C18" s="81" t="s">
        <v>133</v>
      </c>
      <c r="D18" s="80"/>
      <c r="E18" s="150"/>
      <c r="F18" s="120"/>
      <c r="G18" s="295"/>
      <c r="H18" s="296"/>
      <c r="I18" s="79"/>
      <c r="J18" s="78"/>
      <c r="K18" s="150"/>
      <c r="L18" s="151"/>
      <c r="M18" s="120"/>
      <c r="N18" s="295"/>
      <c r="O18" s="296"/>
      <c r="P18" s="152"/>
      <c r="Q18" s="78"/>
      <c r="R18" s="77"/>
      <c r="S18" s="153"/>
      <c r="T18" s="154"/>
      <c r="U18" s="78"/>
      <c r="V18" s="78"/>
      <c r="W18" s="78"/>
      <c r="X18" s="77"/>
    </row>
    <row r="19" ht="14.25">
      <c r="B19" s="29"/>
      <c r="C19" s="297" t="s">
        <v>343</v>
      </c>
      <c r="D19" s="75"/>
      <c r="E19" s="126"/>
      <c r="F19" s="73"/>
      <c r="G19" s="291">
        <f>IF(F19="","",F19*0.85)</f>
      </c>
      <c r="H19" s="292">
        <f>IF(F19="","",F19*1.15)</f>
      </c>
      <c r="I19" s="72">
        <f>IF(OR(E19="",E18=""),"",E19-E18)</f>
      </c>
      <c r="J19" s="124">
        <f>IF(OR(I19="",N(F19)=0),"",(I19-F19)/F19)</f>
      </c>
      <c r="K19" s="125"/>
      <c r="L19" s="155"/>
      <c r="M19" s="68"/>
      <c r="N19" s="291">
        <f>IF(M19="","",M19*0.8)</f>
      </c>
      <c r="O19" s="292">
        <f>IF(M19="","",M19*1.2)</f>
      </c>
      <c r="P19" s="156"/>
      <c r="Q19" s="67">
        <f>IF(OR(P19="",P18=""),"",P19-P18)</f>
      </c>
      <c r="R19" s="157">
        <f>IF(OR(Q19="",N(M19)=0),"",(Q19-M19)/M19)</f>
      </c>
      <c r="S19" s="158"/>
      <c r="T19" s="154"/>
      <c r="U19" s="159">
        <f>IF(OR(N($G$13)=0,$G$14="",$Q$13=""),"",0.16*SQRT($G$13*1000)*($Q$13-$G$14)*IF(AND(ISNUMBER(D19),ISNUMBER(D18)),D19-D18,CHOOSE(1,31,28,31,30,31,30,31,31,30,31,30,31))*24/1000)</f>
      </c>
      <c r="V19" s="159">
        <f>IF(OR(K19="",K18="",S19="",S18=""),"",(K19-K18)+IF(OR(L19="",L18=""),0,L19-L18)+N(U19)+IF(OR(T19="",T18=""),0,T19-T18)-(S19-S18))</f>
      </c>
      <c r="W19" s="124">
        <f>IF(OR(V19="",N(M19)=0),"",(V19-M19)/M19)</f>
      </c>
      <c r="X19" s="56">
        <f>IF(V19="","",IFERROR(V19/(V19+(S19-S18)),""))</f>
      </c>
    </row>
    <row r="20" ht="14.25">
      <c r="B20" s="29"/>
      <c r="C20" s="297" t="s">
        <v>344</v>
      </c>
      <c r="D20" s="75"/>
      <c r="E20" s="126"/>
      <c r="F20" s="73"/>
      <c r="G20" s="291">
        <f>IF(F20="","",F20*0.85)</f>
      </c>
      <c r="H20" s="292">
        <f>IF(F20="","",F20*1.15)</f>
      </c>
      <c r="I20" s="72">
        <f>IF(OR(E20="",E19=""),"",E20-E19)</f>
      </c>
      <c r="J20" s="124">
        <f>IF(OR(I20="",N(F20)=0),"",(I20-F20)/F20)</f>
      </c>
      <c r="K20" s="125"/>
      <c r="L20" s="155"/>
      <c r="M20" s="68"/>
      <c r="N20" s="291">
        <f>IF(M20="","",M20*0.8)</f>
      </c>
      <c r="O20" s="292">
        <f>IF(M20="","",M20*1.2)</f>
      </c>
      <c r="P20" s="156"/>
      <c r="Q20" s="67">
        <f>IF(OR(P20="",P19=""),"",P20-P19)</f>
      </c>
      <c r="R20" s="157">
        <f>IF(OR(Q20="",N(M20)=0),"",(Q20-M20)/M20)</f>
      </c>
      <c r="S20" s="158"/>
      <c r="T20" s="154"/>
      <c r="U20" s="159">
        <f>IF(OR(N($G$13)=0,$G$14="",$Q$13=""),"",0.16*SQRT($G$13*1000)*($Q$13-$G$14)*IF(AND(ISNUMBER(D20),ISNUMBER(D19)),D20-D19,CHOOSE(2,31,28,31,30,31,30,31,31,30,31,30,31))*24/1000)</f>
      </c>
      <c r="V20" s="159">
        <f>IF(OR(K20="",K19="",S20="",S19=""),"",(K20-K19)+IF(OR(L20="",L19=""),0,L20-L19)+N(U20)+IF(OR(T20="",T19=""),0,T20-T19)-(S20-S19))</f>
      </c>
      <c r="W20" s="124">
        <f>IF(OR(V20="",N(M20)=0),"",(V20-M20)/M20)</f>
      </c>
      <c r="X20" s="56">
        <f>IF(V20="","",IFERROR(V20/(V20+(S20-S19)),""))</f>
      </c>
    </row>
    <row r="21" ht="14.25">
      <c r="B21" s="29"/>
      <c r="C21" s="297" t="s">
        <v>345</v>
      </c>
      <c r="D21" s="75"/>
      <c r="E21" s="126"/>
      <c r="F21" s="73"/>
      <c r="G21" s="291">
        <f>IF(F21="","",F21*0.85)</f>
      </c>
      <c r="H21" s="292">
        <f>IF(F21="","",F21*1.15)</f>
      </c>
      <c r="I21" s="72">
        <f>IF(OR(E21="",E20=""),"",E21-E20)</f>
      </c>
      <c r="J21" s="124">
        <f>IF(OR(I21="",N(F21)=0),"",(I21-F21)/F21)</f>
      </c>
      <c r="K21" s="125"/>
      <c r="L21" s="155"/>
      <c r="M21" s="68"/>
      <c r="N21" s="291">
        <f>IF(M21="","",M21*0.8)</f>
      </c>
      <c r="O21" s="292">
        <f>IF(M21="","",M21*1.2)</f>
      </c>
      <c r="P21" s="156"/>
      <c r="Q21" s="67">
        <f>IF(OR(P21="",P20=""),"",P21-P20)</f>
      </c>
      <c r="R21" s="157">
        <f>IF(OR(Q21="",N(M21)=0),"",(Q21-M21)/M21)</f>
      </c>
      <c r="S21" s="158"/>
      <c r="T21" s="154"/>
      <c r="U21" s="159">
        <f>IF(OR(N($G$13)=0,$G$14="",$Q$13=""),"",0.16*SQRT($G$13*1000)*($Q$13-$G$14)*IF(AND(ISNUMBER(D21),ISNUMBER(D20)),D21-D20,CHOOSE(3,31,28,31,30,31,30,31,31,30,31,30,31))*24/1000)</f>
      </c>
      <c r="V21" s="159">
        <f>IF(OR(K21="",K20="",S21="",S20=""),"",(K21-K20)+IF(OR(L21="",L20=""),0,L21-L20)+N(U21)+IF(OR(T21="",T20=""),0,T21-T20)-(S21-S20))</f>
      </c>
      <c r="W21" s="124">
        <f>IF(OR(V21="",N(M21)=0),"",(V21-M21)/M21)</f>
      </c>
      <c r="X21" s="56">
        <f>IF(V21="","",IFERROR(V21/(V21+(S21-S20)),""))</f>
      </c>
    </row>
    <row r="22" ht="14.25">
      <c r="B22" s="29"/>
      <c r="C22" s="297" t="s">
        <v>346</v>
      </c>
      <c r="D22" s="75"/>
      <c r="E22" s="126"/>
      <c r="F22" s="73"/>
      <c r="G22" s="291">
        <f>IF(F22="","",F22*0.85)</f>
      </c>
      <c r="H22" s="292">
        <f>IF(F22="","",F22*1.15)</f>
      </c>
      <c r="I22" s="72">
        <f>IF(OR(E22="",E21=""),"",E22-E21)</f>
      </c>
      <c r="J22" s="124">
        <f>IF(OR(I22="",N(F22)=0),"",(I22-F22)/F22)</f>
      </c>
      <c r="K22" s="125"/>
      <c r="L22" s="155"/>
      <c r="M22" s="68"/>
      <c r="N22" s="291">
        <f>IF(M22="","",M22*0.8)</f>
      </c>
      <c r="O22" s="292">
        <f>IF(M22="","",M22*1.2)</f>
      </c>
      <c r="P22" s="156"/>
      <c r="Q22" s="67">
        <f>IF(OR(P22="",P21=""),"",P22-P21)</f>
      </c>
      <c r="R22" s="157">
        <f>IF(OR(Q22="",N(M22)=0),"",(Q22-M22)/M22)</f>
      </c>
      <c r="S22" s="158"/>
      <c r="T22" s="154"/>
      <c r="U22" s="159">
        <f>IF(OR(N($G$13)=0,$G$14="",$Q$13=""),"",0.16*SQRT($G$13*1000)*($Q$13-$G$14)*IF(AND(ISNUMBER(D22),ISNUMBER(D21)),D22-D21,CHOOSE(4,31,28,31,30,31,30,31,31,30,31,30,31))*24/1000)</f>
      </c>
      <c r="V22" s="159">
        <f>IF(OR(K22="",K21="",S22="",S21=""),"",(K22-K21)+IF(OR(L22="",L21=""),0,L22-L21)+N(U22)+IF(OR(T22="",T21=""),0,T22-T21)-(S22-S21))</f>
      </c>
      <c r="W22" s="124">
        <f>IF(OR(V22="",N(M22)=0),"",(V22-M22)/M22)</f>
      </c>
      <c r="X22" s="56">
        <f>IF(V22="","",IFERROR(V22/(V22+(S22-S21)),""))</f>
      </c>
    </row>
    <row r="23" ht="14.25">
      <c r="B23" s="29"/>
      <c r="C23" s="297" t="s">
        <v>347</v>
      </c>
      <c r="D23" s="75"/>
      <c r="E23" s="126"/>
      <c r="F23" s="73"/>
      <c r="G23" s="291">
        <f>IF(F23="","",F23*0.85)</f>
      </c>
      <c r="H23" s="292">
        <f>IF(F23="","",F23*1.15)</f>
      </c>
      <c r="I23" s="72">
        <f>IF(OR(E23="",E22=""),"",E23-E22)</f>
      </c>
      <c r="J23" s="124">
        <f>IF(OR(I23="",N(F23)=0),"",(I23-F23)/F23)</f>
      </c>
      <c r="K23" s="125"/>
      <c r="L23" s="155"/>
      <c r="M23" s="68"/>
      <c r="N23" s="291">
        <f>IF(M23="","",M23*0.8)</f>
      </c>
      <c r="O23" s="292">
        <f>IF(M23="","",M23*1.2)</f>
      </c>
      <c r="P23" s="156"/>
      <c r="Q23" s="67">
        <f>IF(OR(P23="",P22=""),"",P23-P22)</f>
      </c>
      <c r="R23" s="157">
        <f>IF(OR(Q23="",N(M23)=0),"",(Q23-M23)/M23)</f>
      </c>
      <c r="S23" s="158"/>
      <c r="T23" s="154"/>
      <c r="U23" s="159">
        <f>IF(OR(N($G$13)=0,$G$14="",$Q$13=""),"",0.16*SQRT($G$13*1000)*($Q$13-$G$14)*IF(AND(ISNUMBER(D23),ISNUMBER(D22)),D23-D22,CHOOSE(5,31,28,31,30,31,30,31,31,30,31,30,31))*24/1000)</f>
      </c>
      <c r="V23" s="159">
        <f>IF(OR(K23="",K22="",S23="",S22=""),"",(K23-K22)+IF(OR(L23="",L22=""),0,L23-L22)+N(U23)+IF(OR(T23="",T22=""),0,T23-T22)-(S23-S22))</f>
      </c>
      <c r="W23" s="124">
        <f>IF(OR(V23="",N(M23)=0),"",(V23-M23)/M23)</f>
      </c>
      <c r="X23" s="56">
        <f>IF(V23="","",IFERROR(V23/(V23+(S23-S22)),""))</f>
      </c>
    </row>
    <row r="24" ht="14.25">
      <c r="B24" s="29"/>
      <c r="C24" s="297" t="s">
        <v>348</v>
      </c>
      <c r="D24" s="75"/>
      <c r="E24" s="160"/>
      <c r="F24" s="73"/>
      <c r="G24" s="291">
        <f>IF(F24="","",F24*0.85)</f>
      </c>
      <c r="H24" s="292">
        <f>IF(F24="","",F24*1.15)</f>
      </c>
      <c r="I24" s="72">
        <f>IF(OR(E24="",E23=""),"",E24-E23)</f>
      </c>
      <c r="J24" s="124">
        <f>IF(OR(I24="",N(F24)=0),"",(I24-F24)/F24)</f>
      </c>
      <c r="K24" s="125"/>
      <c r="L24" s="155"/>
      <c r="M24" s="68"/>
      <c r="N24" s="291">
        <f>IF(M24="","",M24*0.8)</f>
      </c>
      <c r="O24" s="292">
        <f>IF(M24="","",M24*1.2)</f>
      </c>
      <c r="P24" s="156"/>
      <c r="Q24" s="67">
        <f>IF(OR(P24="",P23=""),"",P24-P23)</f>
      </c>
      <c r="R24" s="157">
        <f>IF(OR(Q24="",N(M24)=0),"",(Q24-M24)/M24)</f>
      </c>
      <c r="S24" s="158"/>
      <c r="T24" s="154"/>
      <c r="U24" s="159">
        <f>IF(OR(N($G$13)=0,$G$14="",$Q$13=""),"",0.16*SQRT($G$13*1000)*($Q$13-$G$14)*IF(AND(ISNUMBER(D24),ISNUMBER(D23)),D24-D23,CHOOSE(6,31,28,31,30,31,30,31,31,30,31,30,31))*24/1000)</f>
      </c>
      <c r="V24" s="159">
        <f>IF(OR(K24="",K23="",S24="",S23=""),"",(K24-K23)+IF(OR(L24="",L23=""),0,L24-L23)+N(U24)+IF(OR(T24="",T23=""),0,T24-T23)-(S24-S23))</f>
      </c>
      <c r="W24" s="124">
        <f>IF(OR(V24="",N(M24)=0),"",(V24-M24)/M24)</f>
      </c>
      <c r="X24" s="56">
        <f>IF(V24="","",IFERROR(V24/(V24+(S24-S23)),""))</f>
      </c>
    </row>
    <row r="25" ht="14.25">
      <c r="B25" s="29"/>
      <c r="C25" s="297" t="s">
        <v>349</v>
      </c>
      <c r="D25" s="75"/>
      <c r="E25" s="160"/>
      <c r="F25" s="73"/>
      <c r="G25" s="291">
        <f>IF(F25="","",F25*0.85)</f>
      </c>
      <c r="H25" s="292">
        <f>IF(F25="","",F25*1.15)</f>
      </c>
      <c r="I25" s="72">
        <f>IF(OR(E25="",E24=""),"",E25-E24)</f>
      </c>
      <c r="J25" s="124">
        <f>IF(OR(I25="",N(F25)=0),"",(I25-F25)/F25)</f>
      </c>
      <c r="K25" s="125"/>
      <c r="L25" s="155"/>
      <c r="M25" s="68"/>
      <c r="N25" s="291">
        <f>IF(M25="","",M25*0.8)</f>
      </c>
      <c r="O25" s="292">
        <f>IF(M25="","",M25*1.2)</f>
      </c>
      <c r="P25" s="156"/>
      <c r="Q25" s="67">
        <f>IF(OR(P25="",P24=""),"",P25-P24)</f>
      </c>
      <c r="R25" s="157">
        <f>IF(OR(Q25="",N(M25)=0),"",(Q25-M25)/M25)</f>
      </c>
      <c r="S25" s="158"/>
      <c r="T25" s="154"/>
      <c r="U25" s="159">
        <f>IF(OR(N($G$13)=0,$G$14="",$Q$13=""),"",0.16*SQRT($G$13*1000)*($Q$13-$G$14)*IF(AND(ISNUMBER(D25),ISNUMBER(D24)),D25-D24,CHOOSE(7,31,28,31,30,31,30,31,31,30,31,30,31))*24/1000)</f>
      </c>
      <c r="V25" s="159">
        <f>IF(OR(K25="",K24="",S25="",S24=""),"",(K25-K24)+IF(OR(L25="",L24=""),0,L25-L24)+N(U25)+IF(OR(T25="",T24=""),0,T25-T24)-(S25-S24))</f>
      </c>
      <c r="W25" s="124">
        <f>IF(OR(V25="",N(M25)=0),"",(V25-M25)/M25)</f>
      </c>
      <c r="X25" s="56">
        <f>IF(V25="","",IFERROR(V25/(V25+(S25-S24)),""))</f>
      </c>
    </row>
    <row r="26" ht="14.25">
      <c r="B26" s="29"/>
      <c r="C26" s="297" t="s">
        <v>350</v>
      </c>
      <c r="D26" s="75"/>
      <c r="E26" s="160"/>
      <c r="F26" s="73"/>
      <c r="G26" s="291">
        <f>IF(F26="","",F26*0.85)</f>
      </c>
      <c r="H26" s="292">
        <f>IF(F26="","",F26*1.15)</f>
      </c>
      <c r="I26" s="72">
        <f>IF(OR(E26="",E25=""),"",E26-E25)</f>
      </c>
      <c r="J26" s="124">
        <f>IF(OR(I26="",N(F26)=0),"",(I26-F26)/F26)</f>
      </c>
      <c r="K26" s="125"/>
      <c r="L26" s="155"/>
      <c r="M26" s="68"/>
      <c r="N26" s="291">
        <f>IF(M26="","",M26*0.8)</f>
      </c>
      <c r="O26" s="292">
        <f>IF(M26="","",M26*1.2)</f>
      </c>
      <c r="P26" s="156"/>
      <c r="Q26" s="67">
        <f>IF(OR(P26="",P25=""),"",P26-P25)</f>
      </c>
      <c r="R26" s="157">
        <f>IF(OR(Q26="",N(M26)=0),"",(Q26-M26)/M26)</f>
      </c>
      <c r="S26" s="158"/>
      <c r="T26" s="154"/>
      <c r="U26" s="159">
        <f>IF(OR(N($G$13)=0,$G$14="",$Q$13=""),"",0.16*SQRT($G$13*1000)*($Q$13-$G$14)*IF(AND(ISNUMBER(D26),ISNUMBER(D25)),D26-D25,CHOOSE(8,31,28,31,30,31,30,31,31,30,31,30,31))*24/1000)</f>
      </c>
      <c r="V26" s="159">
        <f>IF(OR(K26="",K25="",S26="",S25=""),"",(K26-K25)+IF(OR(L26="",L25=""),0,L26-L25)+N(U26)+IF(OR(T26="",T25=""),0,T26-T25)-(S26-S25))</f>
      </c>
      <c r="W26" s="124">
        <f>IF(OR(V26="",N(M26)=0),"",(V26-M26)/M26)</f>
      </c>
      <c r="X26" s="56">
        <f>IF(V26="","",IFERROR(V26/(V26+(S26-S25)),""))</f>
      </c>
    </row>
    <row r="27" ht="14.25">
      <c r="B27" s="29"/>
      <c r="C27" s="297" t="s">
        <v>351</v>
      </c>
      <c r="D27" s="75"/>
      <c r="E27" s="160"/>
      <c r="F27" s="73"/>
      <c r="G27" s="291">
        <f>IF(F27="","",F27*0.85)</f>
      </c>
      <c r="H27" s="292">
        <f>IF(F27="","",F27*1.15)</f>
      </c>
      <c r="I27" s="72">
        <f>IF(OR(E27="",E26=""),"",E27-E26)</f>
      </c>
      <c r="J27" s="124">
        <f>IF(OR(I27="",N(F27)=0),"",(I27-F27)/F27)</f>
      </c>
      <c r="K27" s="125"/>
      <c r="L27" s="155"/>
      <c r="M27" s="68"/>
      <c r="N27" s="291">
        <f>IF(M27="","",M27*0.8)</f>
      </c>
      <c r="O27" s="292">
        <f>IF(M27="","",M27*1.2)</f>
      </c>
      <c r="P27" s="156"/>
      <c r="Q27" s="67">
        <f>IF(OR(P27="",P26=""),"",P27-P26)</f>
      </c>
      <c r="R27" s="157">
        <f>IF(OR(Q27="",N(M27)=0),"",(Q27-M27)/M27)</f>
      </c>
      <c r="S27" s="158"/>
      <c r="T27" s="154"/>
      <c r="U27" s="159">
        <f>IF(OR(N($G$13)=0,$G$14="",$Q$13=""),"",0.16*SQRT($G$13*1000)*($Q$13-$G$14)*IF(AND(ISNUMBER(D27),ISNUMBER(D26)),D27-D26,CHOOSE(9,31,28,31,30,31,30,31,31,30,31,30,31))*24/1000)</f>
      </c>
      <c r="V27" s="159">
        <f>IF(OR(K27="",K26="",S27="",S26=""),"",(K27-K26)+IF(OR(L27="",L26=""),0,L27-L26)+N(U27)+IF(OR(T27="",T26=""),0,T27-T26)-(S27-S26))</f>
      </c>
      <c r="W27" s="124">
        <f>IF(OR(V27="",N(M27)=0),"",(V27-M27)/M27)</f>
      </c>
      <c r="X27" s="56">
        <f>IF(V27="","",IFERROR(V27/(V27+(S27-S26)),""))</f>
      </c>
    </row>
    <row r="28" ht="14.25">
      <c r="B28" s="29"/>
      <c r="C28" s="297" t="s">
        <v>352</v>
      </c>
      <c r="D28" s="75"/>
      <c r="E28" s="160"/>
      <c r="F28" s="73"/>
      <c r="G28" s="291">
        <f>IF(F28="","",F28*0.85)</f>
      </c>
      <c r="H28" s="292">
        <f>IF(F28="","",F28*1.15)</f>
      </c>
      <c r="I28" s="72">
        <f>IF(OR(E28="",E27=""),"",E28-E27)</f>
      </c>
      <c r="J28" s="124">
        <f>IF(OR(I28="",N(F28)=0),"",(I28-F28)/F28)</f>
      </c>
      <c r="K28" s="125"/>
      <c r="L28" s="155"/>
      <c r="M28" s="68"/>
      <c r="N28" s="291">
        <f>IF(M28="","",M28*0.8)</f>
      </c>
      <c r="O28" s="292">
        <f>IF(M28="","",M28*1.2)</f>
      </c>
      <c r="P28" s="156"/>
      <c r="Q28" s="67">
        <f>IF(OR(P28="",P27=""),"",P28-P27)</f>
      </c>
      <c r="R28" s="157">
        <f>IF(OR(Q28="",N(M28)=0),"",(Q28-M28)/M28)</f>
      </c>
      <c r="S28" s="158"/>
      <c r="T28" s="154"/>
      <c r="U28" s="159">
        <f>IF(OR(N($G$13)=0,$G$14="",$Q$13=""),"",0.16*SQRT($G$13*1000)*($Q$13-$G$14)*IF(AND(ISNUMBER(D28),ISNUMBER(D27)),D28-D27,CHOOSE(10,31,28,31,30,31,30,31,31,30,31,30,31))*24/1000)</f>
      </c>
      <c r="V28" s="159">
        <f>IF(OR(K28="",K27="",S28="",S27=""),"",(K28-K27)+IF(OR(L28="",L27=""),0,L28-L27)+N(U28)+IF(OR(T28="",T27=""),0,T28-T27)-(S28-S27))</f>
      </c>
      <c r="W28" s="124">
        <f>IF(OR(V28="",N(M28)=0),"",(V28-M28)/M28)</f>
      </c>
      <c r="X28" s="56">
        <f>IF(V28="","",IFERROR(V28/(V28+(S28-S27)),""))</f>
      </c>
    </row>
    <row r="29" ht="14.25">
      <c r="B29" s="29"/>
      <c r="C29" s="297" t="s">
        <v>353</v>
      </c>
      <c r="D29" s="75"/>
      <c r="E29" s="160"/>
      <c r="F29" s="73"/>
      <c r="G29" s="291">
        <f>IF(F29="","",F29*0.85)</f>
      </c>
      <c r="H29" s="292">
        <f>IF(F29="","",F29*1.15)</f>
      </c>
      <c r="I29" s="72">
        <f>IF(OR(E29="",E28=""),"",E29-E28)</f>
      </c>
      <c r="J29" s="124">
        <f>IF(OR(I29="",N(F29)=0),"",(I29-F29)/F29)</f>
      </c>
      <c r="K29" s="125"/>
      <c r="L29" s="155"/>
      <c r="M29" s="68"/>
      <c r="N29" s="291">
        <f>IF(M29="","",M29*0.8)</f>
      </c>
      <c r="O29" s="292">
        <f>IF(M29="","",M29*1.2)</f>
      </c>
      <c r="P29" s="156"/>
      <c r="Q29" s="67">
        <f>IF(OR(P29="",P28=""),"",P29-P28)</f>
      </c>
      <c r="R29" s="157">
        <f>IF(OR(Q29="",N(M29)=0),"",(Q29-M29)/M29)</f>
      </c>
      <c r="S29" s="158"/>
      <c r="T29" s="154"/>
      <c r="U29" s="159">
        <f>IF(OR(N($G$13)=0,$G$14="",$Q$13=""),"",0.16*SQRT($G$13*1000)*($Q$13-$G$14)*IF(AND(ISNUMBER(D29),ISNUMBER(D28)),D29-D28,CHOOSE(11,31,28,31,30,31,30,31,31,30,31,30,31))*24/1000)</f>
      </c>
      <c r="V29" s="159">
        <f>IF(OR(K29="",K28="",S29="",S28=""),"",(K29-K28)+IF(OR(L29="",L28=""),0,L29-L28)+N(U29)+IF(OR(T29="",T28=""),0,T29-T28)-(S29-S28))</f>
      </c>
      <c r="W29" s="124">
        <f>IF(OR(V29="",N(M29)=0),"",(V29-M29)/M29)</f>
      </c>
      <c r="X29" s="56">
        <f>IF(V29="","",IFERROR(V29/(V29+(S29-S28)),""))</f>
      </c>
    </row>
    <row r="30" ht="14.65" thickBot="1">
      <c r="B30" s="29"/>
      <c r="C30" s="297" t="s">
        <v>354</v>
      </c>
      <c r="D30" s="65"/>
      <c r="E30" s="161"/>
      <c r="F30" s="63"/>
      <c r="G30" s="299">
        <f>IF(F30="","",F30*0.85)</f>
      </c>
      <c r="H30" s="292">
        <f>IF(F30="","",F30*1.15)</f>
      </c>
      <c r="I30" s="62">
        <f>IF(OR(E30="",E29=""),"",E30-E29)</f>
      </c>
      <c r="J30" s="124">
        <f>IF(OR(I30="",N(F30)=0),"",(I30-F30)/F30)</f>
      </c>
      <c r="K30" s="163"/>
      <c r="L30" s="164"/>
      <c r="M30" s="58"/>
      <c r="N30" s="291">
        <f>IF(M30="","",M30*0.8)</f>
      </c>
      <c r="O30" s="292">
        <f>IF(M30="","",M30*1.2)</f>
      </c>
      <c r="P30" s="165"/>
      <c r="Q30" s="57">
        <f>IF(OR(P30="",P29=""),"",P30-P29)</f>
      </c>
      <c r="R30" s="157">
        <f>IF(OR(Q30="",N(M30)=0),"",(Q30-M30)/M30)</f>
      </c>
      <c r="S30" s="166"/>
      <c r="T30" s="154"/>
      <c r="U30" s="167">
        <f>IF(OR(N($G$13)=0,$G$14="",$Q$13=""),"",0.16*SQRT($G$13*1000)*($Q$13-$G$14)*IF(AND(ISNUMBER(D30),ISNUMBER(D29)),D30-D29,CHOOSE(12,31,28,31,30,31,30,31,31,30,31,30,31))*24/1000)</f>
      </c>
      <c r="V30" s="167">
        <f>IF(OR(K30="",K29="",S30="",S29=""),"",(K30-K29)+IF(OR(L30="",L29=""),0,L30-L29)+N(U30)+IF(OR(T30="",T29=""),0,T30-T29)-(S30-S29))</f>
      </c>
      <c r="W30" s="124">
        <f>IF(OR(V30="",N(M30)=0),"",(V30-M30)/M30)</f>
      </c>
      <c r="X30" s="56">
        <f>IF(V30="","",IFERROR(V30/(V30+(S30-S29)),""))</f>
      </c>
    </row>
    <row r="31" ht="12.75" customHeight="1" thickBot="1">
      <c r="B31" s="29"/>
      <c r="C31" s="55" t="s">
        <v>132</v>
      </c>
      <c r="D31" s="54"/>
      <c r="E31" s="168"/>
      <c r="F31" s="52">
        <f>SUM(F19:F30)</f>
      </c>
      <c r="G31" s="52">
        <f>SUM(G19:G30)</f>
      </c>
      <c r="H31" s="52">
        <f>SUM(H19:H30)</f>
      </c>
      <c r="I31" s="169">
        <f>SUM(I19:I30)</f>
      </c>
      <c r="J31" s="124">
        <f>IFERROR((SUM(I19:I30)-SUMPRODUCT(--ISNUMBER(I19:I30),F19:F30))/SUMPRODUCT(--ISNUMBER(I19:I30),F19:F30),"")</f>
      </c>
      <c r="K31" s="49"/>
      <c r="L31" s="171"/>
      <c r="M31" s="49">
        <f>SUM(M19:M30)</f>
      </c>
      <c r="N31" s="49">
        <f>SUM(N19:N30)</f>
      </c>
      <c r="O31" s="48">
        <f>SUM(O19:O30)</f>
      </c>
      <c r="P31" s="172"/>
      <c r="Q31" s="173">
        <f>SUM(Q19:Q30)</f>
      </c>
      <c r="R31" s="157">
        <f>IFERROR((SUM(Q19:Q30)-SUMPRODUCT(--ISNUMBER(Q19:Q30),M19:M30))/SUMPRODUCT(--ISNUMBER(Q19:Q30),M19:M30),"")</f>
      </c>
      <c r="S31" s="174"/>
      <c r="T31" s="49"/>
      <c r="U31" s="175">
        <f>SUM(U19:U30)</f>
      </c>
      <c r="V31" s="176">
        <f>SUM(V19:V30)</f>
      </c>
      <c r="W31" s="124">
        <f>IFERROR((SUM(V19:V30)-SUMPRODUCT(--ISNUMBER(V19:V30),M19:M30))/SUMPRODUCT(--ISNUMBER(V19:V30),M19:M30),"")</f>
      </c>
      <c r="X31" s="46">
        <f>IFERROR(V31/(V31+SUMPRODUCT(--ISNUMBER(V19:V30),S19:S30-S18:S29)),"")</f>
      </c>
    </row>
    <row r="32" ht="19.5" customHeight="1" thickBot="1">
      <c r="B32" s="29"/>
      <c r="C32" s="422" t="s">
        <v>131</v>
      </c>
      <c r="D32" s="423"/>
      <c r="E32" s="423"/>
      <c r="F32" s="423"/>
      <c r="G32" s="423"/>
      <c r="H32" s="423"/>
      <c r="I32" s="423"/>
      <c r="J32" s="423"/>
      <c r="K32" s="177"/>
      <c r="L32" s="178"/>
      <c r="M32" s="179">
        <f>IF(N($G$12)=0,"",Q31/$G$12)</f>
      </c>
      <c r="N32" s="141"/>
      <c r="O32" s="140"/>
      <c r="P32" s="45"/>
      <c r="Q32" s="179">
        <f>IF(N($G$12)=0,"",V31/$G$12)</f>
      </c>
      <c r="R32" s="180"/>
      <c r="S32" s="141"/>
      <c r="T32" s="29"/>
      <c r="U32" s="29"/>
    </row>
    <row r="33" spans="2:21" ht="14.25" customHeight="1">
      <c r="B33" s="29"/>
      <c r="C33" s="424"/>
      <c r="D33" s="425"/>
      <c r="E33" s="425"/>
      <c r="F33" s="425"/>
      <c r="G33" s="425"/>
      <c r="H33" s="425"/>
      <c r="I33" s="425"/>
      <c r="J33" s="425"/>
      <c r="K33" s="425"/>
      <c r="L33" s="110"/>
      <c r="P33" s="110"/>
      <c r="Q33" s="181"/>
      <c r="T33" s="29"/>
      <c r="U33" s="29"/>
    </row>
    <row r="34" spans="2:21" ht="13.15">
      <c r="C34" s="96" t="s">
        <v>176</v>
      </c>
      <c r="D34" s="142"/>
      <c r="T34" s="29"/>
      <c r="U34" s="29"/>
    </row>
    <row r="35" spans="2:21" ht="55.35" customHeight="1">
      <c r="C35" s="404" t="s">
        <v>177</v>
      </c>
      <c r="D35" s="405"/>
      <c r="E35" s="405"/>
      <c r="F35" s="405"/>
      <c r="G35" s="405"/>
      <c r="H35" s="405"/>
      <c r="I35" s="405"/>
      <c r="J35" s="405"/>
      <c r="K35" s="405"/>
      <c r="L35" s="405"/>
      <c r="M35" s="405"/>
      <c r="N35" s="406"/>
      <c r="T35" s="29"/>
      <c r="U35" s="29"/>
    </row>
    <row r="36" spans="2:21" ht="15" customHeight="1">
      <c r="C36" s="37" t="s">
        <v>130</v>
      </c>
      <c r="D36" s="36"/>
      <c r="E36" s="36"/>
      <c r="F36" s="36"/>
      <c r="G36" s="36"/>
      <c r="H36" s="36"/>
      <c r="I36" s="36"/>
      <c r="J36" s="36"/>
      <c r="K36" s="36"/>
      <c r="L36" s="36"/>
      <c r="M36" s="36"/>
      <c r="O36" s="36"/>
      <c r="P36" s="36"/>
      <c r="T36" s="29"/>
      <c r="U36" s="29"/>
    </row>
    <row r="37" spans="2:21" ht="86.25" customHeight="1">
      <c r="C37" s="426" t="s">
        <v>129</v>
      </c>
      <c r="D37" s="427"/>
      <c r="E37" s="427"/>
      <c r="F37" s="427"/>
      <c r="G37" s="427"/>
      <c r="H37" s="427"/>
      <c r="I37" s="427"/>
      <c r="J37" s="427"/>
      <c r="K37" s="427"/>
      <c r="L37" s="427"/>
      <c r="M37" s="427"/>
      <c r="N37" s="428"/>
      <c r="T37" s="29"/>
      <c r="U37" s="29"/>
    </row>
    <row r="38" spans="2:21" ht="13.5">
      <c r="C38" s="35"/>
      <c r="D38" s="34"/>
      <c r="E38" s="34"/>
      <c r="F38" s="34"/>
      <c r="G38" s="34"/>
      <c r="H38" s="34"/>
      <c r="I38" s="34"/>
      <c r="T38" s="29"/>
      <c r="U38" s="29"/>
    </row>
    <row r="39" spans="2:21" ht="13.5">
      <c r="C39" s="33" t="s">
        <v>128</v>
      </c>
      <c r="T39" s="29"/>
      <c r="U39" s="29"/>
    </row>
    <row r="40" spans="2:21" ht="15" customHeight="1">
      <c r="C40" s="429" t="s">
        <v>127</v>
      </c>
      <c r="D40" s="430"/>
      <c r="E40" s="430"/>
      <c r="F40" s="430"/>
      <c r="G40" s="430"/>
      <c r="H40" s="430"/>
      <c r="I40" s="430"/>
      <c r="J40" s="430"/>
      <c r="K40" s="430"/>
      <c r="L40" s="430"/>
      <c r="M40" s="430"/>
      <c r="N40" s="431"/>
      <c r="T40" s="29"/>
      <c r="U40" s="29"/>
    </row>
    <row r="41" spans="2:21">
      <c r="T41" s="29"/>
      <c r="U41" s="29"/>
    </row>
    <row r="42" spans="2:21" ht="13.5">
      <c r="C42" s="33" t="s">
        <v>126</v>
      </c>
      <c r="T42" s="29"/>
      <c r="U42" s="29"/>
    </row>
    <row r="43" spans="2:21" ht="30.75" customHeight="1">
      <c r="C43" s="417" t="s">
        <v>125</v>
      </c>
      <c r="D43" s="418"/>
      <c r="E43" s="418"/>
      <c r="F43" s="418"/>
      <c r="G43" s="418"/>
      <c r="H43" s="418"/>
      <c r="I43" s="418"/>
      <c r="J43" s="418"/>
      <c r="K43" s="418"/>
      <c r="L43" s="418"/>
      <c r="M43" s="418"/>
      <c r="N43" s="419"/>
      <c r="T43" s="29"/>
      <c r="U43" s="29"/>
    </row>
  </sheetData>
  <mergeCells count="27">
    <mergeCell ref="C43:N43"/>
    <mergeCell ref="C13:F13"/>
    <mergeCell ref="G13:H13"/>
    <mergeCell ref="C14:F14"/>
    <mergeCell ref="G14:H14"/>
    <mergeCell ref="C32:J32"/>
    <mergeCell ref="C33:K33"/>
    <mergeCell ref="C35:N35"/>
    <mergeCell ref="C37:N37"/>
    <mergeCell ref="C40:N40"/>
    <mergeCell ref="S15:X15"/>
    <mergeCell ref="C10:F10"/>
    <mergeCell ref="G10:H10"/>
    <mergeCell ref="C11:F11"/>
    <mergeCell ref="G11:H11"/>
    <mergeCell ref="C12:F12"/>
    <mergeCell ref="G12:H12"/>
    <mergeCell ref="F15:H15"/>
    <mergeCell ref="M15:O15"/>
    <mergeCell ref="P15:R15"/>
    <mergeCell ref="C9:F9"/>
    <mergeCell ref="G9:H9"/>
    <mergeCell ref="C2:J3"/>
    <mergeCell ref="C7:F7"/>
    <mergeCell ref="G7:H7"/>
    <mergeCell ref="C8:F8"/>
    <mergeCell ref="G8:H8"/>
  </mergeCells>
  <conditionalFormatting sqref="J19:J31">
    <cfRule type="expression" dxfId="7" priority="1" stopIfTrue="1">
      <formula>AND(ISNUMBER(J19),ABS(J19)&gt;0.15)</formula>
    </cfRule>
  </conditionalFormatting>
  <conditionalFormatting sqref="R19:R31">
    <cfRule type="expression" dxfId="8" priority="2" stopIfTrue="1">
      <formula>AND(ISNUMBER(R19),R19&lt;-0.2,ISNUMBER(J19),ABS(J19)&lt;=0.15)</formula>
    </cfRule>
  </conditionalFormatting>
  <conditionalFormatting sqref="W19:X31">
    <cfRule type="expression" dxfId="5" priority="3" stopIfTrue="1">
      <formula>AND(ISNUMBER($W19),$W19&lt;-0.2,ISNUMBER($J19),ABS($J19)&lt;=0.15)</formula>
    </cfRule>
  </conditionalFormatting>
  <conditionalFormatting sqref="M32">
    <cfRule type="expression" dxfId="9" priority="4" stopIfTrue="1">
      <formula>AND(ISNUMBER(M32),M32&lt;400)</formula>
    </cfRule>
  </conditionalFormatting>
  <conditionalFormatting sqref="Q32">
    <cfRule type="expression" dxfId="6" priority="5" stopIfTrue="1">
      <formula>AND(ISNUMBER(Q32),Q32&lt;400)</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7B9E0-7A7A-41CC-A73C-9CA4EE8A4015}">
  <sheetPr codeName="Feuil6"/>
  <dimension ref="B1:W37"/>
  <sheetViews>
    <sheetView zoomScale="90" zoomScaleNormal="90" workbookViewId="0">
      <selection activeCell="C39" sqref="C39"/>
    </sheetView>
  </sheetViews>
  <sheetFormatPr baseColWidth="10" defaultColWidth="11.3984375" defaultRowHeight="12.75"/>
  <cols>
    <col min="1" max="1" width="1" style="29" customWidth="1"/>
    <col min="2" max="2" width="11.3984375" style="31" customWidth="1"/>
    <col min="3" max="3" width="11.3984375" style="30" customWidth="1"/>
    <col min="4" max="6" width="14.73046875" style="29" customWidth="1"/>
    <col min="7" max="12" width="11.3984375" style="29"/>
    <col min="13" max="13" width="12.59765625" style="29" customWidth="1"/>
    <col min="14" max="14" width="11.3984375" style="29"/>
    <col min="15" max="15" width="13" style="29" customWidth="1"/>
    <col min="16" max="16" width="13.265625" style="29" customWidth="1"/>
    <col min="17" max="17" width="11.3984375" style="29"/>
    <col min="18" max="18" width="13" style="29" customWidth="1"/>
    <col min="19" max="19" width="12.86328125" style="29" bestFit="1" customWidth="1"/>
    <col min="20" max="20" width="12.86328125" style="29" customWidth="1"/>
    <col min="21" max="16384" width="11.3984375" style="29"/>
  </cols>
  <sheetData>
    <row r="1" ht="13.15" thickBot="1">
      <c r="C1" s="441" t="str">
        <f>HYPERLINK("#'Sommaire'!A1","◄ Sommaire")</f>
      </c>
    </row>
    <row r="2" spans="2:23" ht="12.75" customHeight="1">
      <c r="C2" s="348" t="s">
        <v>158</v>
      </c>
      <c r="D2" s="349"/>
      <c r="E2" s="349"/>
      <c r="F2" s="349"/>
      <c r="G2" s="349"/>
      <c r="H2" s="349"/>
      <c r="I2" s="349"/>
      <c r="J2" s="349"/>
      <c r="K2" s="410"/>
      <c r="N2" s="144"/>
      <c r="O2" s="95"/>
    </row>
    <row r="3" spans="2:23" ht="13.5" customHeight="1" thickBot="1">
      <c r="C3" s="351"/>
      <c r="D3" s="352"/>
      <c r="E3" s="352"/>
      <c r="F3" s="352"/>
      <c r="G3" s="352"/>
      <c r="H3" s="352"/>
      <c r="I3" s="352"/>
      <c r="J3" s="352"/>
      <c r="K3" s="411"/>
    </row>
    <row r="4" spans="2:23" ht="13.5" customHeight="1">
      <c r="C4" s="100" t="s">
        <v>189</v>
      </c>
    </row>
    <row r="5" spans="2:23" ht="13.5" customHeight="1"/>
    <row r="6" spans="2:23" ht="13.15" thickBot="1"/>
    <row r="7" spans="2:23" ht="14.25" customHeight="1">
      <c r="C7" s="389" t="s">
        <v>156</v>
      </c>
      <c r="D7" s="390"/>
      <c r="E7" s="390"/>
      <c r="F7" s="391"/>
      <c r="G7" s="387"/>
      <c r="H7" s="387"/>
      <c r="I7" s="101"/>
      <c r="J7" s="101"/>
      <c r="K7" s="96"/>
      <c r="L7" s="96"/>
      <c r="M7" s="96"/>
    </row>
    <row r="8" spans="2:23" ht="14.25" customHeight="1">
      <c r="C8" s="384" t="s">
        <v>155</v>
      </c>
      <c r="D8" s="385"/>
      <c r="E8" s="385"/>
      <c r="F8" s="386"/>
      <c r="G8" s="387"/>
      <c r="H8" s="387"/>
      <c r="I8" s="101"/>
      <c r="J8" s="101"/>
    </row>
    <row r="9" spans="2:23" ht="14.25" customHeight="1">
      <c r="C9" s="384" t="s">
        <v>154</v>
      </c>
      <c r="D9" s="385"/>
      <c r="E9" s="385"/>
      <c r="F9" s="386"/>
      <c r="G9" s="387"/>
      <c r="H9" s="387"/>
      <c r="I9" s="101"/>
      <c r="J9" s="101"/>
    </row>
    <row r="10" spans="2:23" ht="12.95" customHeight="1">
      <c r="C10" s="384" t="s">
        <v>153</v>
      </c>
      <c r="D10" s="385"/>
      <c r="E10" s="385"/>
      <c r="F10" s="386"/>
      <c r="G10" s="387"/>
      <c r="H10" s="387"/>
      <c r="I10" s="101"/>
      <c r="J10" s="101"/>
    </row>
    <row r="11" spans="2:23" ht="13.5" customHeight="1" thickBot="1">
      <c r="C11" s="182" t="s">
        <v>190</v>
      </c>
      <c r="D11" s="183"/>
      <c r="E11" s="183"/>
      <c r="F11" s="184"/>
      <c r="G11" s="101"/>
      <c r="H11" s="101"/>
      <c r="I11" s="101"/>
      <c r="J11" s="101"/>
    </row>
    <row r="12" spans="2:23" ht="31.35" customHeight="1" thickBot="1">
      <c r="B12" s="97"/>
      <c r="C12" s="96"/>
      <c r="F12" s="378" t="s">
        <v>338</v>
      </c>
      <c r="G12" s="379"/>
      <c r="H12" s="380"/>
      <c r="K12" s="109"/>
      <c r="U12" s="94" t="s">
        <v>149</v>
      </c>
      <c r="V12" s="92"/>
    </row>
    <row r="13" spans="2:23" ht="20.25">
      <c r="C13" s="90" t="s">
        <v>147</v>
      </c>
      <c r="D13" s="88" t="s">
        <v>146</v>
      </c>
      <c r="E13" s="88" t="s">
        <v>145</v>
      </c>
      <c r="F13" s="88" t="s">
        <v>144</v>
      </c>
      <c r="G13" s="293" t="s">
        <v>339</v>
      </c>
      <c r="H13" s="294" t="s">
        <v>340</v>
      </c>
      <c r="I13" s="88" t="s">
        <v>143</v>
      </c>
      <c r="J13" s="88" t="s">
        <v>142</v>
      </c>
      <c r="K13" s="88" t="s">
        <v>166</v>
      </c>
      <c r="L13" s="88" t="s">
        <v>191</v>
      </c>
      <c r="M13" s="88" t="s">
        <v>192</v>
      </c>
      <c r="N13" s="88" t="s">
        <v>193</v>
      </c>
      <c r="O13" s="88" t="s">
        <v>194</v>
      </c>
      <c r="P13" s="88" t="s">
        <v>195</v>
      </c>
      <c r="Q13" s="88" t="s">
        <v>196</v>
      </c>
      <c r="R13" s="88" t="s">
        <v>197</v>
      </c>
      <c r="S13" s="185" t="s">
        <v>198</v>
      </c>
      <c r="T13" s="88" t="s">
        <v>165</v>
      </c>
      <c r="U13" s="88" t="s">
        <v>418</v>
      </c>
      <c r="V13" s="88" t="s">
        <v>199</v>
      </c>
      <c r="W13" s="87" t="s">
        <v>200</v>
      </c>
    </row>
    <row r="14" spans="2:23" ht="40.9" thickBot="1">
      <c r="C14" s="86"/>
      <c r="D14" s="83"/>
      <c r="E14" s="83" t="s">
        <v>201</v>
      </c>
      <c r="F14" s="83" t="s">
        <v>140</v>
      </c>
      <c r="G14" s="83" t="s">
        <v>341</v>
      </c>
      <c r="H14" s="83" t="s">
        <v>342</v>
      </c>
      <c r="I14" s="83" t="s">
        <v>134</v>
      </c>
      <c r="J14" s="83" t="s">
        <v>134</v>
      </c>
      <c r="K14" s="85" t="s">
        <v>202</v>
      </c>
      <c r="L14" s="85" t="s">
        <v>203</v>
      </c>
      <c r="M14" s="85" t="s">
        <v>204</v>
      </c>
      <c r="N14" s="85" t="s">
        <v>205</v>
      </c>
      <c r="O14" s="83" t="s">
        <v>206</v>
      </c>
      <c r="P14" s="83" t="s">
        <v>140</v>
      </c>
      <c r="Q14" s="83" t="s">
        <v>134</v>
      </c>
      <c r="R14" s="83" t="s">
        <v>207</v>
      </c>
      <c r="S14" s="85" t="s">
        <v>208</v>
      </c>
      <c r="T14" s="85" t="s">
        <v>209</v>
      </c>
      <c r="U14" s="85" t="s">
        <v>210</v>
      </c>
      <c r="V14" s="83" t="s">
        <v>134</v>
      </c>
      <c r="W14" s="82" t="s">
        <v>134</v>
      </c>
    </row>
    <row r="15" spans="2:23" ht="20.25">
      <c r="C15" s="81" t="s">
        <v>133</v>
      </c>
      <c r="D15" s="186"/>
      <c r="E15" s="187"/>
      <c r="F15" s="120"/>
      <c r="G15" s="295"/>
      <c r="H15" s="296"/>
      <c r="I15" s="79"/>
      <c r="J15" s="78"/>
      <c r="K15" s="188"/>
      <c r="L15" s="188"/>
      <c r="M15" s="78"/>
      <c r="N15" s="189"/>
      <c r="O15" s="78"/>
      <c r="P15" s="78"/>
      <c r="Q15" s="78"/>
      <c r="R15" s="78"/>
      <c r="S15" s="78"/>
      <c r="T15" s="188"/>
      <c r="U15" s="190"/>
      <c r="V15" s="78"/>
      <c r="W15" s="77"/>
    </row>
    <row r="16" ht="14.25">
      <c r="C16" s="297" t="s">
        <v>343</v>
      </c>
      <c r="D16" s="191"/>
      <c r="E16" s="192"/>
      <c r="F16" s="73"/>
      <c r="G16" s="291">
        <f>IF(F16="","",F16*0.85)</f>
      </c>
      <c r="H16" s="292">
        <f>IF(F16="","",F16*1.15)</f>
      </c>
      <c r="I16" s="72">
        <f>IF(OR(E16="",E15=""),"",E16-E15)</f>
      </c>
      <c r="J16" s="124">
        <f>IF(OR(I16="",N(F16)=0),"",(I16-F16)/F16)</f>
      </c>
      <c r="K16" s="194"/>
      <c r="L16" s="194"/>
      <c r="M16" s="67">
        <f>IF(OR(L16="",L15=""),"",L16-L15)</f>
      </c>
      <c r="N16" s="195"/>
      <c r="O16" s="67">
        <f>IF(OR(M16="",N16="",N15=""),"",(M16-(N16-N15))*0.95)</f>
      </c>
      <c r="P16" s="193"/>
      <c r="Q16" s="124">
        <f>IF(OR(O16="",N(P16)=0),"",(O16-P16)/P16)</f>
      </c>
      <c r="R16" s="124">
        <f>IF(OR(O16="",K16="",K15=""),"",IFERROR(O16/(O16+(K16-K15)),""))</f>
      </c>
      <c r="S16" s="196">
        <f>IF(OR(M16="",N16="",N15=""),"",IFERROR(M16/(N16-N15),""))</f>
      </c>
      <c r="T16" s="194"/>
      <c r="U16" s="197"/>
      <c r="V16" s="198">
        <f>IF(OR(T16="",T15=""),"",T16-T15)</f>
      </c>
      <c r="W16" s="199">
        <f>IF(OR(U16="",U15=""),"",U16-U15)</f>
      </c>
    </row>
    <row r="17" ht="14.25">
      <c r="C17" s="297" t="s">
        <v>344</v>
      </c>
      <c r="D17" s="191"/>
      <c r="E17" s="192"/>
      <c r="F17" s="73"/>
      <c r="G17" s="291">
        <f>IF(F17="","",F17*0.85)</f>
      </c>
      <c r="H17" s="292">
        <f>IF(F17="","",F17*1.15)</f>
      </c>
      <c r="I17" s="72">
        <f>IF(OR(E17="",E16=""),"",E17-E16)</f>
      </c>
      <c r="J17" s="124">
        <f>IF(OR(I17="",N(F17)=0),"",(I17-F17)/F17)</f>
      </c>
      <c r="K17" s="194"/>
      <c r="L17" s="194"/>
      <c r="M17" s="67">
        <f>IF(OR(L17="",L16=""),"",L17-L16)</f>
      </c>
      <c r="N17" s="195"/>
      <c r="O17" s="67">
        <f>IF(OR(M17="",N17="",N16=""),"",(M17-(N17-N16))*0.95)</f>
      </c>
      <c r="P17" s="193"/>
      <c r="Q17" s="124">
        <f>IF(OR(O17="",N(P17)=0),"",(O17-P17)/P17)</f>
      </c>
      <c r="R17" s="124">
        <f>IF(OR(O17="",K17="",K16=""),"",IFERROR(O17/(O17+(K17-K16)),""))</f>
      </c>
      <c r="S17" s="196">
        <f>IF(OR(M17="",N17="",N16=""),"",IFERROR(M17/(N17-N16),""))</f>
      </c>
      <c r="T17" s="194"/>
      <c r="U17" s="197"/>
      <c r="V17" s="198">
        <f>IF(OR(T17="",T16=""),"",T17-T16)</f>
      </c>
      <c r="W17" s="199">
        <f>IF(OR(U17="",U16=""),"",U17-U16)</f>
      </c>
    </row>
    <row r="18" ht="14.25">
      <c r="C18" s="297" t="s">
        <v>345</v>
      </c>
      <c r="D18" s="191"/>
      <c r="E18" s="192"/>
      <c r="F18" s="73"/>
      <c r="G18" s="291">
        <f>IF(F18="","",F18*0.85)</f>
      </c>
      <c r="H18" s="292">
        <f>IF(F18="","",F18*1.15)</f>
      </c>
      <c r="I18" s="72">
        <f>IF(OR(E18="",E17=""),"",E18-E17)</f>
      </c>
      <c r="J18" s="124">
        <f>IF(OR(I18="",N(F18)=0),"",(I18-F18)/F18)</f>
      </c>
      <c r="K18" s="194"/>
      <c r="L18" s="194"/>
      <c r="M18" s="67">
        <f>IF(OR(L18="",L17=""),"",L18-L17)</f>
      </c>
      <c r="N18" s="195"/>
      <c r="O18" s="67">
        <f>IF(OR(M18="",N18="",N17=""),"",(M18-(N18-N17))*0.95)</f>
      </c>
      <c r="P18" s="193"/>
      <c r="Q18" s="124">
        <f>IF(OR(O18="",N(P18)=0),"",(O18-P18)/P18)</f>
      </c>
      <c r="R18" s="124">
        <f>IF(OR(O18="",K18="",K17=""),"",IFERROR(O18/(O18+(K18-K17)),""))</f>
      </c>
      <c r="S18" s="196">
        <f>IF(OR(M18="",N18="",N17=""),"",IFERROR(M18/(N18-N17),""))</f>
      </c>
      <c r="T18" s="194"/>
      <c r="U18" s="197"/>
      <c r="V18" s="198">
        <f>IF(OR(T18="",T17=""),"",T18-T17)</f>
      </c>
      <c r="W18" s="199">
        <f>IF(OR(U18="",U17=""),"",U18-U17)</f>
      </c>
    </row>
    <row r="19" ht="14.25">
      <c r="C19" s="297" t="s">
        <v>346</v>
      </c>
      <c r="D19" s="191"/>
      <c r="E19" s="192"/>
      <c r="F19" s="73"/>
      <c r="G19" s="291">
        <f>IF(F19="","",F19*0.85)</f>
      </c>
      <c r="H19" s="292">
        <f>IF(F19="","",F19*1.15)</f>
      </c>
      <c r="I19" s="72">
        <f>IF(OR(E19="",E18=""),"",E19-E18)</f>
      </c>
      <c r="J19" s="124">
        <f>IF(OR(I19="",N(F19)=0),"",(I19-F19)/F19)</f>
      </c>
      <c r="K19" s="194"/>
      <c r="L19" s="194"/>
      <c r="M19" s="67">
        <f>IF(OR(L19="",L18=""),"",L19-L18)</f>
      </c>
      <c r="N19" s="195"/>
      <c r="O19" s="67">
        <f>IF(OR(M19="",N19="",N18=""),"",(M19-(N19-N18))*0.95)</f>
      </c>
      <c r="P19" s="193"/>
      <c r="Q19" s="124">
        <f>IF(OR(O19="",N(P19)=0),"",(O19-P19)/P19)</f>
      </c>
      <c r="R19" s="124">
        <f>IF(OR(O19="",K19="",K18=""),"",IFERROR(O19/(O19+(K19-K18)),""))</f>
      </c>
      <c r="S19" s="196">
        <f>IF(OR(M19="",N19="",N18=""),"",IFERROR(M19/(N19-N18),""))</f>
      </c>
      <c r="T19" s="194"/>
      <c r="U19" s="197"/>
      <c r="V19" s="198">
        <f>IF(OR(T19="",T18=""),"",T19-T18)</f>
      </c>
      <c r="W19" s="199">
        <f>IF(OR(U19="",U18=""),"",U19-U18)</f>
      </c>
    </row>
    <row r="20" ht="14.25">
      <c r="C20" s="297" t="s">
        <v>347</v>
      </c>
      <c r="D20" s="191"/>
      <c r="E20" s="192"/>
      <c r="F20" s="73"/>
      <c r="G20" s="291">
        <f>IF(F20="","",F20*0.85)</f>
      </c>
      <c r="H20" s="292">
        <f>IF(F20="","",F20*1.15)</f>
      </c>
      <c r="I20" s="72">
        <f>IF(OR(E20="",E19=""),"",E20-E19)</f>
      </c>
      <c r="J20" s="124">
        <f>IF(OR(I20="",N(F20)=0),"",(I20-F20)/F20)</f>
      </c>
      <c r="K20" s="194"/>
      <c r="L20" s="194"/>
      <c r="M20" s="67">
        <f>IF(OR(L20="",L19=""),"",L20-L19)</f>
      </c>
      <c r="N20" s="195"/>
      <c r="O20" s="67">
        <f>IF(OR(M20="",N20="",N19=""),"",(M20-(N20-N19))*0.95)</f>
      </c>
      <c r="P20" s="193"/>
      <c r="Q20" s="124">
        <f>IF(OR(O20="",N(P20)=0),"",(O20-P20)/P20)</f>
      </c>
      <c r="R20" s="124">
        <f>IF(OR(O20="",K20="",K19=""),"",IFERROR(O20/(O20+(K20-K19)),""))</f>
      </c>
      <c r="S20" s="196">
        <f>IF(OR(M20="",N20="",N19=""),"",IFERROR(M20/(N20-N19),""))</f>
      </c>
      <c r="T20" s="194"/>
      <c r="U20" s="197"/>
      <c r="V20" s="198">
        <f>IF(OR(T20="",T19=""),"",T20-T19)</f>
      </c>
      <c r="W20" s="199">
        <f>IF(OR(U20="",U19=""),"",U20-U19)</f>
      </c>
    </row>
    <row r="21" ht="14.25">
      <c r="C21" s="297" t="s">
        <v>348</v>
      </c>
      <c r="D21" s="191"/>
      <c r="E21" s="192"/>
      <c r="F21" s="73"/>
      <c r="G21" s="291">
        <f>IF(F21="","",F21*0.85)</f>
      </c>
      <c r="H21" s="292">
        <f>IF(F21="","",F21*1.15)</f>
      </c>
      <c r="I21" s="72">
        <f>IF(OR(E21="",E20=""),"",E21-E20)</f>
      </c>
      <c r="J21" s="124">
        <f>IF(OR(I21="",N(F21)=0),"",(I21-F21)/F21)</f>
      </c>
      <c r="K21" s="194"/>
      <c r="L21" s="194"/>
      <c r="M21" s="67">
        <f>IF(OR(L21="",L20=""),"",L21-L20)</f>
      </c>
      <c r="N21" s="195"/>
      <c r="O21" s="67">
        <f>IF(OR(M21="",N21="",N20=""),"",(M21-(N21-N20))*0.95)</f>
      </c>
      <c r="P21" s="193"/>
      <c r="Q21" s="124">
        <f>IF(OR(O21="",N(P21)=0),"",(O21-P21)/P21)</f>
      </c>
      <c r="R21" s="124">
        <f>IF(OR(O21="",K21="",K20=""),"",IFERROR(O21/(O21+(K21-K20)),""))</f>
      </c>
      <c r="S21" s="196">
        <f>IF(OR(M21="",N21="",N20=""),"",IFERROR(M21/(N21-N20),""))</f>
      </c>
      <c r="T21" s="194"/>
      <c r="U21" s="197"/>
      <c r="V21" s="198">
        <f>IF(OR(T21="",T20=""),"",T21-T20)</f>
      </c>
      <c r="W21" s="199">
        <f>IF(OR(U21="",U20=""),"",U21-U20)</f>
      </c>
    </row>
    <row r="22" ht="14.25">
      <c r="C22" s="297" t="s">
        <v>349</v>
      </c>
      <c r="D22" s="191"/>
      <c r="E22" s="192"/>
      <c r="F22" s="73"/>
      <c r="G22" s="291">
        <f>IF(F22="","",F22*0.85)</f>
      </c>
      <c r="H22" s="292">
        <f>IF(F22="","",F22*1.15)</f>
      </c>
      <c r="I22" s="72">
        <f>IF(OR(E22="",E21=""),"",E22-E21)</f>
      </c>
      <c r="J22" s="124">
        <f>IF(OR(I22="",N(F22)=0),"",(I22-F22)/F22)</f>
      </c>
      <c r="K22" s="194"/>
      <c r="L22" s="194"/>
      <c r="M22" s="67">
        <f>IF(OR(L22="",L21=""),"",L22-L21)</f>
      </c>
      <c r="N22" s="195"/>
      <c r="O22" s="67">
        <f>IF(OR(M22="",N22="",N21=""),"",(M22-(N22-N21))*0.95)</f>
      </c>
      <c r="P22" s="193"/>
      <c r="Q22" s="124">
        <f>IF(OR(O22="",N(P22)=0),"",(O22-P22)/P22)</f>
      </c>
      <c r="R22" s="124">
        <f>IF(OR(O22="",K22="",K21=""),"",IFERROR(O22/(O22+(K22-K21)),""))</f>
      </c>
      <c r="S22" s="196">
        <f>IF(OR(M22="",N22="",N21=""),"",IFERROR(M22/(N22-N21),""))</f>
      </c>
      <c r="T22" s="194"/>
      <c r="U22" s="197"/>
      <c r="V22" s="198">
        <f>IF(OR(T22="",T21=""),"",T22-T21)</f>
      </c>
      <c r="W22" s="199">
        <f>IF(OR(U22="",U21=""),"",U22-U21)</f>
      </c>
    </row>
    <row r="23" ht="14.25">
      <c r="C23" s="297" t="s">
        <v>350</v>
      </c>
      <c r="D23" s="191"/>
      <c r="E23" s="192"/>
      <c r="F23" s="73"/>
      <c r="G23" s="291">
        <f>IF(F23="","",F23*0.85)</f>
      </c>
      <c r="H23" s="292">
        <f>IF(F23="","",F23*1.15)</f>
      </c>
      <c r="I23" s="72">
        <f>IF(OR(E23="",E22=""),"",E23-E22)</f>
      </c>
      <c r="J23" s="124">
        <f>IF(OR(I23="",N(F23)=0),"",(I23-F23)/F23)</f>
      </c>
      <c r="K23" s="194"/>
      <c r="L23" s="194"/>
      <c r="M23" s="67">
        <f>IF(OR(L23="",L22=""),"",L23-L22)</f>
      </c>
      <c r="N23" s="195"/>
      <c r="O23" s="67">
        <f>IF(OR(M23="",N23="",N22=""),"",(M23-(N23-N22))*0.95)</f>
      </c>
      <c r="P23" s="193"/>
      <c r="Q23" s="124">
        <f>IF(OR(O23="",N(P23)=0),"",(O23-P23)/P23)</f>
      </c>
      <c r="R23" s="124">
        <f>IF(OR(O23="",K23="",K22=""),"",IFERROR(O23/(O23+(K23-K22)),""))</f>
      </c>
      <c r="S23" s="196">
        <f>IF(OR(M23="",N23="",N22=""),"",IFERROR(M23/(N23-N22),""))</f>
      </c>
      <c r="T23" s="194"/>
      <c r="U23" s="197"/>
      <c r="V23" s="198">
        <f>IF(OR(T23="",T22=""),"",T23-T22)</f>
      </c>
      <c r="W23" s="199">
        <f>IF(OR(U23="",U22=""),"",U23-U22)</f>
      </c>
    </row>
    <row r="24" ht="14.25">
      <c r="C24" s="297" t="s">
        <v>351</v>
      </c>
      <c r="D24" s="191"/>
      <c r="E24" s="192"/>
      <c r="F24" s="73"/>
      <c r="G24" s="291">
        <f>IF(F24="","",F24*0.85)</f>
      </c>
      <c r="H24" s="292">
        <f>IF(F24="","",F24*1.15)</f>
      </c>
      <c r="I24" s="72">
        <f>IF(OR(E24="",E23=""),"",E24-E23)</f>
      </c>
      <c r="J24" s="124">
        <f>IF(OR(I24="",N(F24)=0),"",(I24-F24)/F24)</f>
      </c>
      <c r="K24" s="194"/>
      <c r="L24" s="194"/>
      <c r="M24" s="67">
        <f>IF(OR(L24="",L23=""),"",L24-L23)</f>
      </c>
      <c r="N24" s="195"/>
      <c r="O24" s="67">
        <f>IF(OR(M24="",N24="",N23=""),"",(M24-(N24-N23))*0.95)</f>
      </c>
      <c r="P24" s="193"/>
      <c r="Q24" s="124">
        <f>IF(OR(O24="",N(P24)=0),"",(O24-P24)/P24)</f>
      </c>
      <c r="R24" s="124">
        <f>IF(OR(O24="",K24="",K23=""),"",IFERROR(O24/(O24+(K24-K23)),""))</f>
      </c>
      <c r="S24" s="196">
        <f>IF(OR(M24="",N24="",N23=""),"",IFERROR(M24/(N24-N23),""))</f>
      </c>
      <c r="T24" s="194"/>
      <c r="U24" s="197"/>
      <c r="V24" s="198">
        <f>IF(OR(T24="",T23=""),"",T24-T23)</f>
      </c>
      <c r="W24" s="199">
        <f>IF(OR(U24="",U23=""),"",U24-U23)</f>
      </c>
    </row>
    <row r="25" ht="14.25">
      <c r="C25" s="297" t="s">
        <v>352</v>
      </c>
      <c r="D25" s="191"/>
      <c r="E25" s="192"/>
      <c r="F25" s="73"/>
      <c r="G25" s="291">
        <f>IF(F25="","",F25*0.85)</f>
      </c>
      <c r="H25" s="292">
        <f>IF(F25="","",F25*1.15)</f>
      </c>
      <c r="I25" s="72">
        <f>IF(OR(E25="",E24=""),"",E25-E24)</f>
      </c>
      <c r="J25" s="124">
        <f>IF(OR(I25="",N(F25)=0),"",(I25-F25)/F25)</f>
      </c>
      <c r="K25" s="194"/>
      <c r="L25" s="194"/>
      <c r="M25" s="67">
        <f>IF(OR(L25="",L24=""),"",L25-L24)</f>
      </c>
      <c r="N25" s="195"/>
      <c r="O25" s="67">
        <f>IF(OR(M25="",N25="",N24=""),"",(M25-(N25-N24))*0.95)</f>
      </c>
      <c r="P25" s="193"/>
      <c r="Q25" s="124">
        <f>IF(OR(O25="",N(P25)=0),"",(O25-P25)/P25)</f>
      </c>
      <c r="R25" s="124">
        <f>IF(OR(O25="",K25="",K24=""),"",IFERROR(O25/(O25+(K25-K24)),""))</f>
      </c>
      <c r="S25" s="196">
        <f>IF(OR(M25="",N25="",N24=""),"",IFERROR(M25/(N25-N24),""))</f>
      </c>
      <c r="T25" s="194"/>
      <c r="U25" s="197"/>
      <c r="V25" s="198">
        <f>IF(OR(T25="",T24=""),"",T25-T24)</f>
      </c>
      <c r="W25" s="199">
        <f>IF(OR(U25="",U24=""),"",U25-U24)</f>
      </c>
    </row>
    <row r="26" ht="14.25">
      <c r="C26" s="297" t="s">
        <v>353</v>
      </c>
      <c r="D26" s="191"/>
      <c r="E26" s="192"/>
      <c r="F26" s="73"/>
      <c r="G26" s="291">
        <f>IF(F26="","",F26*0.85)</f>
      </c>
      <c r="H26" s="292">
        <f>IF(F26="","",F26*1.15)</f>
      </c>
      <c r="I26" s="72">
        <f>IF(OR(E26="",E25=""),"",E26-E25)</f>
      </c>
      <c r="J26" s="124">
        <f>IF(OR(I26="",N(F26)=0),"",(I26-F26)/F26)</f>
      </c>
      <c r="K26" s="194"/>
      <c r="L26" s="194"/>
      <c r="M26" s="67">
        <f>IF(OR(L26="",L25=""),"",L26-L25)</f>
      </c>
      <c r="N26" s="195"/>
      <c r="O26" s="67">
        <f>IF(OR(M26="",N26="",N25=""),"",(M26-(N26-N25))*0.95)</f>
      </c>
      <c r="P26" s="193"/>
      <c r="Q26" s="124">
        <f>IF(OR(O26="",N(P26)=0),"",(O26-P26)/P26)</f>
      </c>
      <c r="R26" s="124">
        <f>IF(OR(O26="",K26="",K25=""),"",IFERROR(O26/(O26+(K26-K25)),""))</f>
      </c>
      <c r="S26" s="196">
        <f>IF(OR(M26="",N26="",N25=""),"",IFERROR(M26/(N26-N25),""))</f>
      </c>
      <c r="T26" s="194"/>
      <c r="U26" s="197"/>
      <c r="V26" s="198">
        <f>IF(OR(T26="",T25=""),"",T26-T25)</f>
      </c>
      <c r="W26" s="199">
        <f>IF(OR(U26="",U25=""),"",U26-U25)</f>
      </c>
    </row>
    <row r="27" ht="14.65" thickBot="1">
      <c r="C27" s="297" t="s">
        <v>354</v>
      </c>
      <c r="D27" s="200"/>
      <c r="E27" s="201"/>
      <c r="F27" s="63"/>
      <c r="G27" s="299">
        <f>IF(F27="","",F27*0.85)</f>
      </c>
      <c r="H27" s="292">
        <f>IF(F27="","",F27*1.15)</f>
      </c>
      <c r="I27" s="62">
        <f>IF(OR(E27="",E26=""),"",E27-E26)</f>
      </c>
      <c r="J27" s="124">
        <f>IF(OR(I27="",N(F27)=0),"",(I27-F27)/F27)</f>
      </c>
      <c r="K27" s="203"/>
      <c r="L27" s="203"/>
      <c r="M27" s="57">
        <f>IF(OR(L27="",L26=""),"",L27-L26)</f>
      </c>
      <c r="N27" s="204"/>
      <c r="O27" s="57">
        <f>IF(OR(M27="",N27="",N26=""),"",(M27-(N27-N26))*0.95)</f>
      </c>
      <c r="P27" s="202"/>
      <c r="Q27" s="162">
        <f>IF(OR(O27="",N(P27)=0),"",(O27-P27)/P27)</f>
      </c>
      <c r="R27" s="162">
        <f>IF(OR(O27="",K27="",K26=""),"",IFERROR(O27/(O27+(K27-K26)),""))</f>
      </c>
      <c r="S27" s="205">
        <f>IF(OR(M27="",N27="",N26=""),"",IFERROR(M27/(N27-N26),""))</f>
      </c>
      <c r="T27" s="203"/>
      <c r="U27" s="206"/>
      <c r="V27" s="207">
        <f>IF(OR(T27="",T26=""),"",T27-T26)</f>
      </c>
      <c r="W27" s="208">
        <f>IF(OR(U27="",U26=""),"",U27-U26)</f>
      </c>
    </row>
    <row r="28" ht="12.75" customHeight="1" thickBot="1">
      <c r="C28" s="55" t="s">
        <v>132</v>
      </c>
      <c r="D28" s="54"/>
      <c r="E28" s="168"/>
      <c r="F28" s="52">
        <f>SUM(F16:F27)</f>
      </c>
      <c r="G28" s="52">
        <f>SUM(G16:G27)</f>
      </c>
      <c r="H28" s="52">
        <f>SUM(H16:H27)</f>
      </c>
      <c r="I28" s="169">
        <f>SUM(I16:I27)</f>
      </c>
      <c r="J28" s="124">
        <f>IFERROR((SUM(I16:I27)-SUMPRODUCT(--ISNUMBER(I16:I27),F16:F27))/SUMPRODUCT(--ISNUMBER(I16:I27),F16:F27),"")</f>
      </c>
      <c r="K28" s="49"/>
      <c r="L28" s="49"/>
      <c r="M28" s="210">
        <f>SUM(M16:M27)</f>
      </c>
      <c r="N28" s="49"/>
      <c r="O28" s="210">
        <f>SUM(O16:O27)</f>
      </c>
      <c r="P28" s="209">
        <f>SUM(P16:P27)</f>
      </c>
      <c r="Q28" s="50">
        <f>IFERROR((SUM(O16:O27)-SUMPRODUCT(--ISNUMBER(O16:O27),P16:P27))/SUMPRODUCT(--ISNUMBER(O16:O27),P16:P27),"")</f>
      </c>
      <c r="R28" s="170">
        <f>IFERROR(O28/(O28+SUMPRODUCT(--ISNUMBER(O16:O27),K16:K27-K15:K26)),"")</f>
      </c>
      <c r="S28" s="211">
        <f>IFERROR(M28/SUMPRODUCT(--ISNUMBER(M16:M27),N16:N27-N15:N26),"")</f>
      </c>
      <c r="T28" s="49"/>
      <c r="U28" s="49"/>
      <c r="V28" s="210">
        <f>SUM(V16:V27)</f>
      </c>
      <c r="W28" s="212">
        <f>SUM(W16:W27)</f>
      </c>
    </row>
    <row r="29" spans="3:23" ht="19.5" customHeight="1">
      <c r="C29" s="432"/>
      <c r="D29" s="432"/>
      <c r="E29" s="432"/>
      <c r="F29" s="432"/>
      <c r="G29" s="432"/>
      <c r="H29" s="432"/>
      <c r="I29" s="432"/>
      <c r="J29" s="38"/>
      <c r="K29" s="39"/>
      <c r="L29" s="39"/>
      <c r="M29" s="39"/>
      <c r="N29" s="181"/>
      <c r="O29" s="39"/>
      <c r="Q29" s="39"/>
    </row>
    <row r="30" spans="3:23" ht="15" customHeight="1">
      <c r="C30" s="37" t="s">
        <v>130</v>
      </c>
      <c r="D30" s="36"/>
      <c r="E30" s="36"/>
      <c r="F30" s="36"/>
      <c r="G30" s="36"/>
      <c r="H30" s="36"/>
      <c r="I30" s="36"/>
      <c r="J30" s="36"/>
      <c r="K30" s="36"/>
      <c r="L30" s="36"/>
      <c r="M30" s="36"/>
      <c r="N30" s="36"/>
      <c r="P30" s="36"/>
      <c r="Q30" s="36"/>
    </row>
    <row r="31" spans="3:23" ht="90.75" customHeight="1">
      <c r="C31" s="433" t="s">
        <v>211</v>
      </c>
      <c r="D31" s="433"/>
      <c r="E31" s="433"/>
      <c r="F31" s="433"/>
      <c r="G31" s="433"/>
      <c r="H31" s="433"/>
      <c r="I31" s="433"/>
      <c r="J31" s="433"/>
      <c r="K31" s="434"/>
      <c r="L31" s="434"/>
      <c r="M31" s="434"/>
      <c r="N31" s="434"/>
    </row>
    <row r="32" spans="3:23" ht="13.5">
      <c r="C32" s="34"/>
      <c r="D32" s="34"/>
      <c r="E32" s="34"/>
      <c r="F32" s="34"/>
      <c r="G32" s="34"/>
      <c r="H32" s="34"/>
      <c r="I32" s="34"/>
      <c r="J32" s="34"/>
    </row>
    <row r="33" spans="3:14" ht="13.5">
      <c r="C33" s="33" t="s">
        <v>128</v>
      </c>
    </row>
    <row r="34" spans="3:14" ht="29.25" customHeight="1">
      <c r="C34" s="433" t="s">
        <v>212</v>
      </c>
      <c r="D34" s="433"/>
      <c r="E34" s="433"/>
      <c r="F34" s="433"/>
      <c r="G34" s="433"/>
      <c r="H34" s="433"/>
      <c r="I34" s="433"/>
      <c r="J34" s="433"/>
      <c r="K34" s="435"/>
      <c r="L34" s="435"/>
      <c r="M34" s="435"/>
      <c r="N34" s="435"/>
    </row>
    <row r="35" spans="3:14">
      <c r="C35" s="96"/>
    </row>
    <row r="36" spans="3:14" ht="13.5">
      <c r="C36" s="33" t="s">
        <v>126</v>
      </c>
    </row>
    <row r="37" spans="3:14" ht="61.5" customHeight="1">
      <c r="C37" s="417" t="s">
        <v>213</v>
      </c>
      <c r="D37" s="418"/>
      <c r="E37" s="418"/>
      <c r="F37" s="418"/>
      <c r="G37" s="418"/>
      <c r="H37" s="418"/>
      <c r="I37" s="418"/>
      <c r="J37" s="418"/>
      <c r="K37" s="418"/>
      <c r="L37" s="418"/>
      <c r="M37" s="418"/>
      <c r="N37" s="419"/>
    </row>
  </sheetData>
  <mergeCells count="14">
    <mergeCell ref="C37:N37"/>
    <mergeCell ref="C2:K3"/>
    <mergeCell ref="C7:F7"/>
    <mergeCell ref="G7:H7"/>
    <mergeCell ref="C8:F8"/>
    <mergeCell ref="G8:H8"/>
    <mergeCell ref="C9:F9"/>
    <mergeCell ref="G9:H9"/>
    <mergeCell ref="C10:F10"/>
    <mergeCell ref="G10:H10"/>
    <mergeCell ref="C29:I29"/>
    <mergeCell ref="C31:N31"/>
    <mergeCell ref="C34:N34"/>
    <mergeCell ref="F12:H12"/>
  </mergeCells>
  <conditionalFormatting sqref="J16:J28">
    <cfRule type="expression" dxfId="4" priority="1" stopIfTrue="1">
      <formula>AND(ISNUMBER(J16),ABS(J16)&gt;0.15)</formula>
    </cfRule>
  </conditionalFormatting>
  <conditionalFormatting sqref="Q16:R28">
    <cfRule type="expression" dxfId="3" priority="2" stopIfTrue="1">
      <formula>AND(ISNUMBER($Q16),$Q16&lt;-0.2,ISNUMBER($J16),ABS($J16)&lt;=0.15)</formula>
    </cfRule>
  </conditionalFormatting>
  <conditionalFormatting sqref="R28">
    <cfRule type="expression" dxfId="2" priority="3" stopIfTrue="1">
      <formula>AND(ISNUMBER(R28),R28&lt;0.9)</formula>
    </cfRule>
  </conditionalFormatting>
  <conditionalFormatting sqref="S28">
    <cfRule type="expression" dxfId="1" priority="4" stopIfTrue="1">
      <formula>AND(ISNUMBER(S28),S28&lt;2.8)</formula>
    </cfRule>
  </conditionalFormatting>
  <conditionalFormatting sqref="W16:W28">
    <cfRule type="expression" dxfId="0" priority="5" stopIfTrue="1">
      <formula>AND(ISNUMBER(W16),ISNUMBER(V16),W16&gt;V16)</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4501A"/>
    <pageSetUpPr fitToPage="1"/>
  </sheetPr>
  <dimension ref="B2:C34"/>
  <sheetViews>
    <sheetView showGridLines="0" tabSelected="1" workbookViewId="0">
      <selection activeCell="B6" sqref="B6"/>
    </sheetView>
  </sheetViews>
  <sheetFormatPr defaultRowHeight="14.25"/>
  <cols>
    <col min="1" max="1" width="3" customWidth="1"/>
    <col min="2" max="2" width="46" customWidth="1"/>
    <col min="3" max="3" width="110" customWidth="1"/>
  </cols>
  <sheetData>
    <row r="2" ht="30" customHeight="1">
      <c r="B2" s="436" t="inlineStr">
        <is>
          <t xml:space="preserve">Schémathèque dynamique et suivi de performance ADEME</t>
        </is>
      </c>
    </row>
    <row r="3">
      <c r="B3" s="443" t="inlineStr">
        <is>
          <t xml:space="preserve">Installations solaires thermiques collectives · version 2.0 (sans macro)</t>
        </is>
      </c>
    </row>
    <row r="5" ht="22" customHeight="1">
      <c r="B5" s="438" t="inlineStr">
        <is>
          <t xml:space="preserve">SCHÉMATHÈQUE INTERACTIVE</t>
        </is>
      </c>
      <c r="C5" s="438" t="inlineStr">
        <is>
          <t xml:space="preserve"/>
        </is>
      </c>
    </row>
    <row r="6" ht="52" customHeight="1">
      <c r="B6" s="440" t="inlineStr">
        <is>
          <t xml:space="preserve"/>
        </is>
      </c>
      <c r="C6" s="440" t="inlineStr">
        <is>
          <t xml:space="preserve">Cliquez sur le bouton : choisissez circuit, appoint, stockage et bouclage, le schéma hydraulique s'assemble et le TYPE de suivi à remplir est indiqué. Accès libre, sans compte ni installation.</t>
        </is>
      </c>
    </row>
    <row r="7" ht="30" customHeight="1">
      <c r="B7" s="439" t="inlineStr">
        <is>
          <t xml:space="preserve">Sans connexion Internet ?</t>
        </is>
      </c>
      <c r="C7" s="440" t="inlineStr">
        <is>
          <t xml:space="preserve">Ouvrez la page une fois, puis enregistrez-la depuis le navigateur (Ctrl+S, « Page web complète ») : le fichier obtenu fonctionne ensuite hors ligne.</t>
        </is>
      </c>
    </row>
    <row r="8" ht="18" customHeight="1">
      <c r="B8" s="443" t="inlineStr">
        <is>
          <t xml:space="preserve">Lien à diffuser :</t>
        </is>
      </c>
      <c r="C8" s="441" t="str">
        <f>HYPERLINK("https://schematheque.opthelios.com/","https://schematheque.opthelios.com/")</f>
      </c>
    </row>
    <row r="9" ht="22" customHeight="1">
      <c r="B9" s="438" t="inlineStr">
        <is>
          <t xml:space="preserve">ONGLETS DU CLASSEUR</t>
        </is>
      </c>
      <c r="C9" s="438" t="inlineStr">
        <is>
          <t xml:space="preserve"/>
        </is>
      </c>
    </row>
    <row r="10" ht="18" customHeight="1">
      <c r="B10" s="441" t="str">
        <f>HYPERLINK("#'Contexte'!A1","Contexte")</f>
      </c>
      <c r="C10" s="440" t="inlineStr">
        <is>
          <t xml:space="preserve">Pourquoi suivre une installation : les 3 niveaux de surveillance (alerte, suivi simplifié, suivi détaillé).</t>
        </is>
      </c>
    </row>
    <row r="11" ht="18" customHeight="1">
      <c r="B11" s="441" t="str">
        <f>HYPERLINK("#'Proposition GT SOCOL'!A1","Proposition GT SOCOL")</f>
      </c>
      <c r="C11" s="440" t="inlineStr">
        <is>
          <t xml:space="preserve">Nomenclature des grandeurs énergétiques (Qapp, QSU, Qpr, Fsol, Fpac…) et normes EN 12977, EN 15316, EN 52000-1.</t>
        </is>
      </c>
    </row>
    <row r="12" ht="18" customHeight="1">
      <c r="B12" s="441" t="str">
        <f>HYPERLINK("#'Glossaire'!A1","Glossaire")</f>
      </c>
      <c r="C12" s="440" t="inlineStr">
        <is>
          <t xml:space="preserve">Métrologie minimale et formules de bilan pour chaque schéma-type (appoint séparé, intégré, CESCAI, eau technique).</t>
        </is>
      </c>
    </row>
    <row r="13" ht="18" customHeight="1">
      <c r="B13" s="441" t="str">
        <f>HYPERLINK("#'Notice et Définitions'!A1","Notice et Définitions")</f>
      </c>
      <c r="C13" s="440" t="inlineStr">
        <is>
          <t xml:space="preserve">Identification de l'opération, choix du TYPE de suivi, codes couleur et notice.</t>
        </is>
      </c>
    </row>
    <row r="14" ht="18" customHeight="1">
      <c r="B14" s="441" t="str">
        <f>HYPERLINK("#'Suivi instal TYPE 1'!A1","Suivi instal TYPE 1")</f>
      </c>
      <c r="C14" s="440" t="inlineStr">
        <is>
          <t xml:space="preserve">Production ECS, appoint séparé, avec ou sans bouclage.</t>
        </is>
      </c>
    </row>
    <row r="15" ht="18" customHeight="1">
      <c r="B15" s="441" t="str">
        <f>HYPERLINK("#'Suivi instal TYPE 2'!A1","Suivi instal TYPE 2")</f>
      </c>
      <c r="C15" s="440" t="inlineStr">
        <is>
          <t xml:space="preserve">Production ECS, appoint intégré, sans bouclage.</t>
        </is>
      </c>
    </row>
    <row r="16" ht="18" customHeight="1">
      <c r="B16" s="441" t="str">
        <f>HYPERLINK("#'Suivi instal TYPE 3'!A1","Suivi instal TYPE 3")</f>
      </c>
      <c r="C16" s="440" t="inlineStr">
        <is>
          <t xml:space="preserve">Production ECS, appoint intégré, avec bouclage.</t>
        </is>
      </c>
    </row>
    <row r="17" ht="18" customHeight="1">
      <c r="B17" s="441" t="str">
        <f>HYPERLINK("#'Suivi instal TYPE 4'!A1","Suivi instal TYPE 4")</f>
      </c>
      <c r="C17" s="440" t="inlineStr">
        <is>
          <t xml:space="preserve">PAC solaire.</t>
        </is>
      </c>
    </row>
    <row r="19" ht="22" customHeight="1">
      <c r="B19" s="438" t="inlineStr">
        <is>
          <t xml:space="preserve">QUEL TABLEAU DE SUIVI REMPLIR ?</t>
        </is>
      </c>
      <c r="C19" s="438" t="inlineStr">
        <is>
          <t xml:space="preserve"/>
        </is>
      </c>
    </row>
    <row r="20" ht="18" customHeight="1">
      <c r="B20" s="439" t="inlineStr">
        <is>
          <t xml:space="preserve">Appoint séparé, avec ou sans bouclage</t>
        </is>
      </c>
      <c r="C20" s="441" t="str">
        <f>HYPERLINK("#'Suivi instal TYPE 1'!A1","Suivi instal TYPE 1 ►")</f>
      </c>
    </row>
    <row r="21" ht="18" customHeight="1">
      <c r="B21" s="439" t="inlineStr">
        <is>
          <t xml:space="preserve">Appoint intégré, sans bouclage</t>
        </is>
      </c>
      <c r="C21" s="441" t="str">
        <f>HYPERLINK("#'Suivi instal TYPE 2'!A1","Suivi instal TYPE 2 ►")</f>
      </c>
    </row>
    <row r="22" ht="18" customHeight="1">
      <c r="B22" s="439" t="inlineStr">
        <is>
          <t xml:space="preserve">Appoint intégré, avec bouclage</t>
        </is>
      </c>
      <c r="C22" s="441" t="str">
        <f>HYPERLINK("#'Suivi instal TYPE 3'!A1","Suivi instal TYPE 3 ►")</f>
      </c>
    </row>
    <row r="23" ht="18" customHeight="1">
      <c r="B23" s="439" t="inlineStr">
        <is>
          <t xml:space="preserve">PAC solaire ECS</t>
        </is>
      </c>
      <c r="C23" s="441" t="str">
        <f>HYPERLINK("#'Suivi instal TYPE 4'!A1","Suivi instal TYPE 4 ►")</f>
      </c>
    </row>
    <row r="25" ht="22" customHeight="1">
      <c r="B25" s="438" t="inlineStr">
        <is>
          <t xml:space="preserve">NOUVEAUTÉS DE LA VERSION 2.0</t>
        </is>
      </c>
      <c r="C25" s="438" t="inlineStr">
        <is>
          <t xml:space="preserve"/>
        </is>
      </c>
    </row>
    <row r="26" ht="28" customHeight="1">
      <c r="B26" s="440" t="inlineStr">
        <is>
          <t xml:space="preserve">•</t>
        </is>
      </c>
      <c r="C26" s="440" t="inlineStr">
        <is>
          <t xml:space="preserve">Schémathèque déplacée dans une page web autonome : plus d'images liées ni de macros, fichier 6 fois plus léger (.xlsx).</t>
        </is>
      </c>
    </row>
    <row r="27" ht="28" customHeight="1">
      <c r="B27" s="440" t="inlineStr">
        <is>
          <t xml:space="preserve">•</t>
        </is>
      </c>
      <c r="C27" s="440" t="inlineStr">
        <is>
          <t xml:space="preserve">Onglets TYPE 2, 3 et 4 : les graphiques ne vont plus chercher leurs séries dans les autres onglets.</t>
        </is>
      </c>
    </row>
    <row r="28" ht="28" customHeight="1">
      <c r="B28" s="440" t="inlineStr">
        <is>
          <t xml:space="preserve">•</t>
        </is>
      </c>
      <c r="C28" s="440" t="inlineStr">
        <is>
          <t xml:space="preserve">TYPE 1 : les graphiques tracent les consommations mensuelles (Vecs réel, QSU) et non plus les index cumulés.</t>
        </is>
      </c>
    </row>
    <row r="29" ht="28" customHeight="1">
      <c r="B29" s="440" t="inlineStr">
        <is>
          <t xml:space="preserve">•</t>
        </is>
      </c>
      <c r="C29" s="440" t="inlineStr">
        <is>
          <t xml:space="preserve">Totaux ajoutés (QSU prévisionnel et −20 %) : l'écart annuel sur QSU est enfin calculé (il affichait une division par zéro).</t>
        </is>
      </c>
    </row>
    <row r="30" ht="28" customHeight="1">
      <c r="B30" s="440" t="inlineStr">
        <is>
          <t xml:space="preserve">•</t>
        </is>
      </c>
      <c r="C30" s="440" t="inlineStr">
        <is>
          <t xml:space="preserve">Écarts annuels calculés sur les seuls mois relevés (prorata du prévisionnel).</t>
        </is>
      </c>
    </row>
    <row r="31" ht="28" customHeight="1">
      <c r="B31" s="440" t="inlineStr">
        <is>
          <t xml:space="preserve">•</t>
        </is>
      </c>
      <c r="C31" s="440" t="inlineStr">
        <is>
          <t xml:space="preserve">TYPE 3 : erreur de signe corrigée sur Qapp_utile dans QSU réelle ; règle d'alerte corrigée (référençait la colonne A).</t>
        </is>
      </c>
    </row>
    <row r="32" ht="28" customHeight="1">
      <c r="B32" s="440" t="inlineStr">
        <is>
          <t xml:space="preserve">•</t>
        </is>
      </c>
      <c r="C32" s="440" t="inlineStr">
        <is>
          <t xml:space="preserve">TYPE 2 et 3 : Tst saisissable (55 °C par défaut) et Nj réel (dates de relevé) dans Qpr_app.</t>
        </is>
      </c>
    </row>
    <row r="33" ht="28" customHeight="1">
      <c r="B33" s="440" t="inlineStr">
        <is>
          <t xml:space="preserve">•</t>
        </is>
      </c>
      <c r="C33" s="440" t="inlineStr">
        <is>
          <t xml:space="preserve">Cellules vides tant que les relevés ne sont pas saisis (plus d'erreurs de division ni de valeurs négatives), alertes rouges seulement sur des valeurs réelles.</t>
        </is>
      </c>
    </row>
    <row r="34" ht="28" customHeight="1">
      <c r="B34" s="440" t="inlineStr">
        <is>
          <t xml:space="preserve">•</t>
        </is>
      </c>
      <c r="C34" s="440" t="inlineStr">
        <is>
          <t xml:space="preserve">Liens de navigation : ce sommaire, un lien retour sur chaque onglet, et des liens directs depuis la Notice.</t>
        </is>
      </c>
    </row>
  </sheetData>
  <pageMargins left="0.5" right="0.5" top="0.6" bottom="0.6" header="0.3" footer="0.3"/>
  <pageSetup paperSize="9" orientation="landscape"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6</vt:i4>
      </vt:variant>
    </vt:vector>
  </HeadingPairs>
  <TitlesOfParts>
    <vt:vector size="15" baseType="lpstr">
      <vt:lpstr>Sommaire</vt:lpstr>
      <vt:lpstr>Contexte</vt:lpstr>
      <vt:lpstr>Proposition GT SOCOL</vt:lpstr>
      <vt:lpstr>Glossaire</vt:lpstr>
      <vt:lpstr>Notice et Définitions</vt:lpstr>
      <vt:lpstr>Suivi instal TYPE 1</vt:lpstr>
      <vt:lpstr>Suivi instal TYPE 2</vt:lpstr>
      <vt:lpstr>Suivi instal TYPE 3</vt:lpstr>
      <vt:lpstr>Suivi instal TYPE 4</vt:lpstr>
      <vt:lpstr>suivi_instal_TYPE_1</vt:lpstr>
      <vt:lpstr>Suivi_instal_TYPE_2</vt:lpstr>
      <vt:lpstr>Suivi_instal_TYPE_3</vt:lpstr>
      <vt:lpstr>Suivi_instal_TYPE_4</vt:lpstr>
      <vt:lpstr>Contexte!Zone_d_impression</vt:lpstr>
      <vt:lpstr>'Notice et Définitions'!Zone_d_impression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dc:creator>
  <cp:lastModifiedBy>Moran GUILLERMIC</cp:lastModifiedBy>
  <cp:lastPrinted>2024-12-11T12:56:38Z</cp:lastPrinted>
  <dcterms:created xsi:type="dcterms:W3CDTF">2022-10-26T12:46:12Z</dcterms:created>
  <dcterms:modified xsi:type="dcterms:W3CDTF">2026-09-24T11:21:12Z</dcterms:modified>
</cp:coreProperties>
</file>